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EENRE SDN BHD\Technical Department\01_GREENRE TOOLS\_GREENRE CALCULATOR\Water Template\"/>
    </mc:Choice>
  </mc:AlternateContent>
  <xr:revisionPtr revIDLastSave="0" documentId="13_ncr:1_{C64D35EA-51DA-4793-8582-0C6B91740E71}" xr6:coauthVersionLast="47" xr6:coauthVersionMax="47" xr10:uidLastSave="{00000000-0000-0000-0000-000000000000}"/>
  <bookViews>
    <workbookView xWindow="-120" yWindow="-120" windowWidth="20730" windowHeight="11040" activeTab="3" xr2:uid="{72D5C8A8-905F-4862-9752-3CE7C97EB19E}"/>
  </bookViews>
  <sheets>
    <sheet name="Summary" sheetId="4" r:id="rId1"/>
    <sheet name="Landscape irrigation  " sheetId="2" r:id="rId2"/>
    <sheet name="RWH 1" sheetId="1" r:id="rId3"/>
    <sheet name="WEF (Residential)" sheetId="3" r:id="rId4"/>
    <sheet name="WEF (Common Area )" sheetId="6" r:id="rId5"/>
    <sheet name="Miscellaneous" sheetId="5" r:id="rId6"/>
  </sheets>
  <definedNames>
    <definedName name="First_Flush_Diversion" localSheetId="2">'RWH 1'!$C$17</definedName>
    <definedName name="Total_Area" localSheetId="2">'RWH 1'!$C$12</definedName>
    <definedName name="Total_Run_Off_Coefficient_x_Area" localSheetId="2">'RWH 1'!$C$13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3" l="1"/>
  <c r="G17" i="4"/>
  <c r="B5" i="4"/>
  <c r="D5" i="4"/>
  <c r="B24" i="1"/>
  <c r="B23" i="1"/>
  <c r="C6" i="4"/>
  <c r="E43" i="6"/>
  <c r="C43" i="6"/>
  <c r="F43" i="6" s="1"/>
  <c r="E42" i="6"/>
  <c r="C42" i="6"/>
  <c r="F42" i="6" s="1"/>
  <c r="E41" i="6"/>
  <c r="C41" i="6"/>
  <c r="F41" i="6" s="1"/>
  <c r="E40" i="6"/>
  <c r="F40" i="6" s="1"/>
  <c r="C40" i="6"/>
  <c r="F39" i="6"/>
  <c r="E39" i="6"/>
  <c r="C39" i="6"/>
  <c r="C34" i="6"/>
  <c r="F34" i="6" s="1"/>
  <c r="F33" i="6"/>
  <c r="C33" i="6"/>
  <c r="F32" i="6"/>
  <c r="F31" i="6"/>
  <c r="F35" i="6" s="1"/>
  <c r="F30" i="6"/>
  <c r="E23" i="6"/>
  <c r="D23" i="6"/>
  <c r="C23" i="6"/>
  <c r="F23" i="6" s="1"/>
  <c r="F22" i="6"/>
  <c r="E22" i="6"/>
  <c r="D22" i="6"/>
  <c r="C22" i="6"/>
  <c r="E21" i="6"/>
  <c r="D21" i="6"/>
  <c r="C21" i="6"/>
  <c r="F21" i="6" s="1"/>
  <c r="F20" i="6"/>
  <c r="E20" i="6"/>
  <c r="D20" i="6"/>
  <c r="C20" i="6"/>
  <c r="E19" i="6"/>
  <c r="D19" i="6"/>
  <c r="C19" i="6"/>
  <c r="F19" i="6" s="1"/>
  <c r="F14" i="6"/>
  <c r="D14" i="6"/>
  <c r="C14" i="6"/>
  <c r="D13" i="6"/>
  <c r="C13" i="6"/>
  <c r="F13" i="6" s="1"/>
  <c r="D12" i="6"/>
  <c r="C12" i="6"/>
  <c r="F12" i="6" s="1"/>
  <c r="D11" i="6"/>
  <c r="F11" i="6" s="1"/>
  <c r="C11" i="6"/>
  <c r="E6" i="2"/>
  <c r="F40" i="3"/>
  <c r="F41" i="3"/>
  <c r="F39" i="3"/>
  <c r="F31" i="3"/>
  <c r="F32" i="3"/>
  <c r="F20" i="3"/>
  <c r="F21" i="3"/>
  <c r="F19" i="3"/>
  <c r="F15" i="6" l="1"/>
  <c r="F24" i="6"/>
  <c r="F47" i="6" s="1"/>
  <c r="F44" i="6"/>
  <c r="F48" i="6" s="1"/>
  <c r="I7" i="2"/>
  <c r="I8" i="2"/>
  <c r="I9" i="2"/>
  <c r="I10" i="2"/>
  <c r="I11" i="2"/>
  <c r="I12" i="2"/>
  <c r="I13" i="2"/>
  <c r="I14" i="2"/>
  <c r="I15" i="2"/>
  <c r="I16" i="2"/>
  <c r="K16" i="2" s="1"/>
  <c r="I17" i="2"/>
  <c r="I18" i="2"/>
  <c r="G8" i="2"/>
  <c r="G9" i="2"/>
  <c r="G10" i="2"/>
  <c r="J10" i="2" s="1"/>
  <c r="G11" i="2"/>
  <c r="G12" i="2"/>
  <c r="J12" i="2" s="1"/>
  <c r="G13" i="2"/>
  <c r="G14" i="2"/>
  <c r="G15" i="2"/>
  <c r="G16" i="2"/>
  <c r="G17" i="2"/>
  <c r="J17" i="2" s="1"/>
  <c r="G18" i="2"/>
  <c r="J18" i="2" s="1"/>
  <c r="E8" i="2"/>
  <c r="C8" i="2"/>
  <c r="K9" i="2"/>
  <c r="G7" i="2"/>
  <c r="J13" i="2"/>
  <c r="J14" i="2"/>
  <c r="J15" i="2"/>
  <c r="E7" i="2"/>
  <c r="C7" i="2"/>
  <c r="K11" i="2"/>
  <c r="E11" i="4"/>
  <c r="F11" i="4"/>
  <c r="K10" i="2"/>
  <c r="K13" i="2"/>
  <c r="K15" i="2"/>
  <c r="K17" i="2"/>
  <c r="K18" i="2"/>
  <c r="J11" i="2"/>
  <c r="J16" i="2"/>
  <c r="I6" i="2"/>
  <c r="I23" i="2"/>
  <c r="K23" i="2" s="1"/>
  <c r="I22" i="2"/>
  <c r="K22" i="2" s="1"/>
  <c r="I21" i="2"/>
  <c r="I20" i="2"/>
  <c r="I19" i="2"/>
  <c r="E20" i="2"/>
  <c r="E21" i="2"/>
  <c r="E19" i="2"/>
  <c r="C20" i="2"/>
  <c r="K20" i="2" s="1"/>
  <c r="C21" i="2"/>
  <c r="K21" i="2" s="1"/>
  <c r="C19" i="2"/>
  <c r="G19" i="2"/>
  <c r="G20" i="2"/>
  <c r="G21" i="2"/>
  <c r="G22" i="2"/>
  <c r="J22" i="2" s="1"/>
  <c r="G23" i="2"/>
  <c r="J23" i="2" s="1"/>
  <c r="G6" i="2"/>
  <c r="F49" i="6" l="1"/>
  <c r="K8" i="2"/>
  <c r="J7" i="2"/>
  <c r="J8" i="2"/>
  <c r="J9" i="2"/>
  <c r="K7" i="2"/>
  <c r="K14" i="2"/>
  <c r="K12" i="2"/>
  <c r="K19" i="2"/>
  <c r="J21" i="2"/>
  <c r="J20" i="2"/>
  <c r="J19" i="2"/>
  <c r="E39" i="3" l="1"/>
  <c r="E40" i="3"/>
  <c r="E41" i="3"/>
  <c r="E42" i="3"/>
  <c r="E43" i="3"/>
  <c r="C40" i="3" l="1"/>
  <c r="C41" i="3"/>
  <c r="C42" i="3"/>
  <c r="F42" i="3" s="1"/>
  <c r="C43" i="3"/>
  <c r="F43" i="3" s="1"/>
  <c r="C39" i="3"/>
  <c r="C33" i="3"/>
  <c r="F33" i="3" s="1"/>
  <c r="C34" i="3"/>
  <c r="F34" i="3" s="1"/>
  <c r="F30" i="3"/>
  <c r="E19" i="3"/>
  <c r="F35" i="3" l="1"/>
  <c r="F44" i="3"/>
  <c r="C13" i="3"/>
  <c r="D12" i="3"/>
  <c r="D13" i="3"/>
  <c r="D14" i="3"/>
  <c r="D11" i="3"/>
  <c r="C12" i="3"/>
  <c r="C14" i="3"/>
  <c r="C11" i="3"/>
  <c r="E20" i="3"/>
  <c r="E21" i="3"/>
  <c r="E22" i="3"/>
  <c r="E23" i="3"/>
  <c r="D20" i="3"/>
  <c r="D21" i="3"/>
  <c r="D22" i="3"/>
  <c r="D23" i="3"/>
  <c r="D19" i="3"/>
  <c r="C20" i="3"/>
  <c r="C21" i="3"/>
  <c r="C22" i="3"/>
  <c r="C23" i="3"/>
  <c r="C19" i="3"/>
  <c r="F12" i="3" l="1"/>
  <c r="F23" i="3"/>
  <c r="F22" i="3"/>
  <c r="F14" i="3"/>
  <c r="F13" i="3"/>
  <c r="F11" i="3"/>
  <c r="C6" i="2"/>
  <c r="F15" i="3" l="1"/>
  <c r="F24" i="3"/>
  <c r="B6" i="4" s="1"/>
  <c r="K6" i="2"/>
  <c r="J6" i="2"/>
  <c r="F48" i="3"/>
  <c r="K24" i="2"/>
  <c r="C28" i="2" s="1"/>
  <c r="C29" i="2" l="1"/>
  <c r="C5" i="4" s="1"/>
  <c r="B25" i="1"/>
  <c r="C11" i="4"/>
  <c r="J24" i="2"/>
  <c r="C25" i="2" s="1"/>
  <c r="C26" i="2" s="1"/>
  <c r="A21" i="1"/>
  <c r="F49" i="3" l="1"/>
  <c r="B11" i="4" l="1"/>
  <c r="G16" i="4" s="1"/>
  <c r="B16" i="1"/>
  <c r="D11" i="4" s="1"/>
  <c r="B15" i="1"/>
  <c r="B26" i="1" l="1"/>
  <c r="G18" i="4"/>
</calcChain>
</file>

<file path=xl/sharedStrings.xml><?xml version="1.0" encoding="utf-8"?>
<sst xmlns="http://schemas.openxmlformats.org/spreadsheetml/2006/main" count="260" uniqueCount="104">
  <si>
    <t xml:space="preserve">Location </t>
  </si>
  <si>
    <t xml:space="preserve">Landscape type </t>
  </si>
  <si>
    <t xml:space="preserve">Quantity </t>
  </si>
  <si>
    <t xml:space="preserve">Project Name </t>
  </si>
  <si>
    <t xml:space="preserve">Design Data </t>
  </si>
  <si>
    <t xml:space="preserve">Roof Catchment </t>
  </si>
  <si>
    <t xml:space="preserve">Type </t>
  </si>
  <si>
    <t xml:space="preserve">Run-off coefficient </t>
  </si>
  <si>
    <t xml:space="preserve">Pitched Tile </t>
  </si>
  <si>
    <t xml:space="preserve">Steel Roof </t>
  </si>
  <si>
    <t>RC Roof</t>
  </si>
  <si>
    <t>Block Pavement</t>
  </si>
  <si>
    <t xml:space="preserve">Gravel Roadway 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</si>
  <si>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</si>
  <si>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Catchment Area x Run -off coefficient </t>
  </si>
  <si>
    <t>Type Of System</t>
  </si>
  <si>
    <t>First Flush System</t>
  </si>
  <si>
    <t>Equation</t>
  </si>
  <si>
    <t>Tank Size (L)</t>
  </si>
  <si>
    <t>Total Annual Collected Rain Water (L)</t>
  </si>
  <si>
    <t>Average Daily Collected Rain Water (L)</t>
  </si>
  <si>
    <t>Irrigation Consumption (L/Day)</t>
  </si>
  <si>
    <t>Percentage of Reduction (%)</t>
  </si>
  <si>
    <t>Collectible Rainwater = Rainfall x Catchment Area x Run Off Coefficient -(Total Catchment Area x First Flush Diversion )</t>
  </si>
  <si>
    <r>
      <t>Total Catchment Area (m</t>
    </r>
    <r>
      <rPr>
        <vertAlign val="super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)</t>
    </r>
  </si>
  <si>
    <t xml:space="preserve">GF </t>
  </si>
  <si>
    <t>Tree</t>
  </si>
  <si>
    <t xml:space="preserve">Shrub </t>
  </si>
  <si>
    <t xml:space="preserve">Palm </t>
  </si>
  <si>
    <t>Turf</t>
  </si>
  <si>
    <t>Nos</t>
  </si>
  <si>
    <t>Total watering requirement (L/Day)</t>
  </si>
  <si>
    <t xml:space="preserve">Landscape Consumption </t>
  </si>
  <si>
    <t xml:space="preserve">Baseline Case </t>
  </si>
  <si>
    <t xml:space="preserve">Flush Fixture Data </t>
  </si>
  <si>
    <t xml:space="preserve">Urinal </t>
  </si>
  <si>
    <t xml:space="preserve">Fixture type </t>
  </si>
  <si>
    <t xml:space="preserve">Total Daily Use </t>
  </si>
  <si>
    <t>Flowrate (LPF)</t>
  </si>
  <si>
    <t>Water consumption (l)</t>
  </si>
  <si>
    <t xml:space="preserve">Flush Fixture </t>
  </si>
  <si>
    <t xml:space="preserve">Flow Fixture Data </t>
  </si>
  <si>
    <t xml:space="preserve">Fixture Type </t>
  </si>
  <si>
    <t>Duration (sec)</t>
  </si>
  <si>
    <t>Proposed Case</t>
  </si>
  <si>
    <t>Total Calculated Flush Fixture water use volume(l)</t>
  </si>
  <si>
    <t xml:space="preserve">Daily Occupancy </t>
  </si>
  <si>
    <t xml:space="preserve">Building Occupancy </t>
  </si>
  <si>
    <t>Annual Work Days</t>
  </si>
  <si>
    <t xml:space="preserve">People </t>
  </si>
  <si>
    <t>Days</t>
  </si>
  <si>
    <t xml:space="preserve">Conventional </t>
  </si>
  <si>
    <t>Carbon Emission Reduction compare to baseline (%)</t>
  </si>
  <si>
    <t>Percent Reduction of Water Use (%)</t>
  </si>
  <si>
    <t xml:space="preserve">Total Calculated Flush Fixture water use annual volume (m3), Baseline case </t>
  </si>
  <si>
    <t>Total Calculated Flush Fixture water use annual volume (m3), Proposed case</t>
  </si>
  <si>
    <t>Carbon Emission (kgCO2e/year)</t>
  </si>
  <si>
    <t xml:space="preserve">Baseline </t>
  </si>
  <si>
    <t>WC</t>
  </si>
  <si>
    <t>Urinal</t>
  </si>
  <si>
    <t>Bib Tap</t>
  </si>
  <si>
    <t xml:space="preserve">Hand Bidet </t>
  </si>
  <si>
    <t xml:space="preserve">Ablution Tap </t>
  </si>
  <si>
    <t>Shower</t>
  </si>
  <si>
    <t xml:space="preserve">Basin Tap </t>
  </si>
  <si>
    <t>Landscape</t>
  </si>
  <si>
    <t>Water fittings</t>
  </si>
  <si>
    <t>Outdoor water (Taps)</t>
  </si>
  <si>
    <t>Carbon emission</t>
  </si>
  <si>
    <t>Irrigation water requirement (Litre/Year)</t>
  </si>
  <si>
    <t xml:space="preserve">Summary of Annual  water consumption </t>
  </si>
  <si>
    <t>Baseline Case (m3/year )</t>
  </si>
  <si>
    <t>Design Case (m3/year )</t>
  </si>
  <si>
    <t xml:space="preserve">Cooling Tower Consumption </t>
  </si>
  <si>
    <t xml:space="preserve">Miscellanous </t>
  </si>
  <si>
    <t>Water Required 
( L/day)</t>
  </si>
  <si>
    <t xml:space="preserve">Total </t>
  </si>
  <si>
    <t>Total calculated Annual Calculated Annual Carbon Emission for Water Use, Baseline Case</t>
  </si>
  <si>
    <t>Total calculated Annual Calculated Annual Carbon Emission for Water Use, Design  Case</t>
  </si>
  <si>
    <t xml:space="preserve">Water Consumption </t>
  </si>
  <si>
    <t>BaseFlow</t>
  </si>
  <si>
    <t xml:space="preserve">Daily Use </t>
  </si>
  <si>
    <t>Duration per use</t>
  </si>
  <si>
    <t xml:space="preserve">Sink Tap </t>
  </si>
  <si>
    <t xml:space="preserve">Tap </t>
  </si>
  <si>
    <t xml:space="preserve">Full Flush </t>
  </si>
  <si>
    <t xml:space="preserve">Half Flush </t>
  </si>
  <si>
    <t>Low Flow</t>
  </si>
  <si>
    <t xml:space="preserve">Convetional </t>
  </si>
  <si>
    <t xml:space="preserve">Total Consumption </t>
  </si>
  <si>
    <t xml:space="preserve">Manual </t>
  </si>
  <si>
    <t xml:space="preserve">Drip </t>
  </si>
  <si>
    <t xml:space="preserve">Sprinkler </t>
  </si>
  <si>
    <t xml:space="preserve">Irrigation Method </t>
  </si>
  <si>
    <t xml:space="preserve">IE </t>
  </si>
  <si>
    <t xml:space="preserve">RWH </t>
  </si>
  <si>
    <t xml:space="preserve">AC Condensate Recovery </t>
  </si>
  <si>
    <t xml:space="preserve">Water features &amp; Swimming Pool </t>
  </si>
  <si>
    <t>Baseline Irrigation water requirement (Litre/Day)</t>
  </si>
  <si>
    <t xml:space="preserve">Design </t>
  </si>
  <si>
    <t xml:space="preserve">Grey Water Recycling </t>
  </si>
  <si>
    <t>Design  Irrigation water requirement (Litre/Day)</t>
  </si>
  <si>
    <t>Flowrate (LPM)</t>
  </si>
  <si>
    <t>Building Occupancy for Common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</si>
</sst>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Karla"/>
    </font>
    <font>
      <b/>
      <sz val="11"/>
      <color theme="1"/>
      <name val="Karla"/>
    </font>
    <font>
      <b/>
      <sz val="12"/>
      <color theme="1"/>
      <name val="Karla"/>
    </font>
    <font>
      <sz val="11"/>
      <color theme="0"/>
      <name val="Karla"/>
    </font>
    <font>
      <sz val="11"/>
      <name val="Karla"/>
    </font>
    <font>
      <sz val="11"/>
      <color rgb="FFFF0000"/>
      <name val="Karla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7" borderId="2" xfId="0" applyFill="1" applyBorder="1"/>
    <xf numFmtId="0" fontId="0" fillId="0" borderId="6" xfId="0" applyBorder="1"/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6" borderId="1" xfId="0" applyFont="1" applyFill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10" fillId="3" borderId="0" xfId="0" applyFont="1" applyFill="1"/>
    <xf numFmtId="0" fontId="7" fillId="0" borderId="14" xfId="0" applyFont="1" applyBorder="1"/>
    <xf numFmtId="0" fontId="7" fillId="0" borderId="17" xfId="0" applyFont="1" applyBorder="1"/>
    <xf numFmtId="0" fontId="7" fillId="8" borderId="18" xfId="0" applyFont="1" applyFill="1" applyBorder="1"/>
    <xf numFmtId="4" fontId="7" fillId="8" borderId="18" xfId="0" applyNumberFormat="1" applyFont="1" applyFill="1" applyBorder="1"/>
    <xf numFmtId="2" fontId="7" fillId="8" borderId="1" xfId="0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9" borderId="1" xfId="0" applyFont="1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2" fontId="7" fillId="6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2" fontId="7" fillId="0" borderId="1" xfId="0" applyNumberFormat="1" applyFont="1" applyBorder="1"/>
    <xf numFmtId="0" fontId="6" fillId="0" borderId="0" xfId="0" applyFont="1" applyAlignment="1">
      <alignment horizontal="center"/>
    </xf>
    <xf numFmtId="0" fontId="0" fillId="7" borderId="16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2" fontId="0" fillId="7" borderId="2" xfId="0" applyNumberFormat="1" applyFill="1" applyBorder="1"/>
    <xf numFmtId="2" fontId="0" fillId="7" borderId="2" xfId="0" applyNumberFormat="1" applyFill="1" applyBorder="1" applyAlignment="1">
      <alignment horizontal="center"/>
    </xf>
    <xf numFmtId="4" fontId="11" fillId="11" borderId="1" xfId="0" applyNumberFormat="1" applyFont="1" applyFill="1" applyBorder="1"/>
    <xf numFmtId="0" fontId="11" fillId="11" borderId="1" xfId="0" applyFont="1" applyFill="1" applyBorder="1"/>
    <xf numFmtId="2" fontId="11" fillId="11" borderId="1" xfId="0" applyNumberFormat="1" applyFont="1" applyFill="1" applyBorder="1"/>
    <xf numFmtId="0" fontId="7" fillId="12" borderId="1" xfId="0" applyFont="1" applyFill="1" applyBorder="1" applyAlignment="1">
      <alignment horizontal="left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164" fontId="7" fillId="0" borderId="1" xfId="0" applyNumberFormat="1" applyFont="1" applyBorder="1"/>
    <xf numFmtId="164" fontId="7" fillId="6" borderId="1" xfId="0" applyNumberFormat="1" applyFont="1" applyFill="1" applyBorder="1"/>
    <xf numFmtId="0" fontId="10" fillId="10" borderId="14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7" xfId="0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CFCA-5719-47B8-9410-01A13FF7879D}">
  <dimension ref="A1:G18"/>
  <sheetViews>
    <sheetView zoomScaleNormal="100" workbookViewId="0">
      <selection activeCell="B10" sqref="B10"/>
    </sheetView>
  </sheetViews>
  <sheetFormatPr defaultRowHeight="15" x14ac:dyDescent="0.25"/>
  <cols>
    <col min="1" max="1" width="41" style="28" customWidth="1"/>
    <col min="2" max="2" width="28.5703125" style="28" customWidth="1"/>
    <col min="3" max="3" width="25.28515625" style="28" customWidth="1"/>
    <col min="4" max="4" width="28.7109375" style="28" customWidth="1"/>
    <col min="5" max="5" width="27.85546875" style="28" customWidth="1"/>
    <col min="6" max="6" width="29.28515625" style="28" customWidth="1"/>
    <col min="7" max="7" width="28.140625" style="28" customWidth="1"/>
    <col min="8" max="8" width="31" style="28" customWidth="1"/>
    <col min="9" max="16384" width="9.140625" style="28"/>
  </cols>
  <sheetData>
    <row r="1" spans="1:7" x14ac:dyDescent="0.25">
      <c r="A1" s="41" t="s">
        <v>70</v>
      </c>
    </row>
    <row r="3" spans="1:7" ht="15" customHeight="1" x14ac:dyDescent="0.25">
      <c r="A3" s="81" t="s">
        <v>79</v>
      </c>
      <c r="B3" s="81" t="s">
        <v>71</v>
      </c>
      <c r="C3" s="78" t="s">
        <v>72</v>
      </c>
      <c r="D3" s="79"/>
      <c r="E3" s="79"/>
      <c r="F3" s="80"/>
    </row>
    <row r="4" spans="1:7" ht="22.5" customHeight="1" x14ac:dyDescent="0.25">
      <c r="A4" s="82"/>
      <c r="B4" s="82"/>
      <c r="C4" s="59" t="s">
        <v>89</v>
      </c>
      <c r="D4" s="59" t="s">
        <v>95</v>
      </c>
      <c r="E4" s="59" t="s">
        <v>100</v>
      </c>
      <c r="F4" s="59" t="s">
        <v>96</v>
      </c>
    </row>
    <row r="5" spans="1:7" x14ac:dyDescent="0.25">
      <c r="A5" s="31" t="s">
        <v>65</v>
      </c>
      <c r="B5" s="40">
        <f>('Landscape irrigation  '!C26)/1000</f>
        <v>18199.721249999995</v>
      </c>
      <c r="C5" s="40">
        <f>('Landscape irrigation  '!C29)/1000</f>
        <v>8382.5024000000012</v>
      </c>
      <c r="D5" s="69">
        <f>('RWH 1'!B24*365)/1000</f>
        <v>748.00600000000009</v>
      </c>
      <c r="E5" s="70"/>
      <c r="F5" s="70"/>
    </row>
    <row r="6" spans="1:7" x14ac:dyDescent="0.25">
      <c r="A6" s="31" t="s">
        <v>66</v>
      </c>
      <c r="B6" s="60">
        <f>'WEF (Residential)'!F47+'WEF (Common Area )'!F47</f>
        <v>96234.666666666657</v>
      </c>
      <c r="C6" s="71">
        <f>'WEF (Residential)'!F48+'WEF (Common Area )'!F48</f>
        <v>1132.3</v>
      </c>
      <c r="D6" s="70"/>
      <c r="E6" s="70"/>
      <c r="F6" s="70"/>
    </row>
    <row r="7" spans="1:7" x14ac:dyDescent="0.25">
      <c r="A7" s="31" t="s">
        <v>67</v>
      </c>
      <c r="B7" s="31"/>
      <c r="C7" s="70"/>
      <c r="D7" s="70"/>
      <c r="E7" s="70"/>
      <c r="F7" s="70"/>
    </row>
    <row r="8" spans="1:7" x14ac:dyDescent="0.25">
      <c r="A8" s="31" t="s">
        <v>97</v>
      </c>
      <c r="B8" s="31"/>
      <c r="C8" s="70"/>
      <c r="D8" s="70"/>
      <c r="E8" s="70"/>
      <c r="F8" s="70"/>
    </row>
    <row r="9" spans="1:7" x14ac:dyDescent="0.25">
      <c r="A9" s="31" t="s">
        <v>73</v>
      </c>
      <c r="B9" s="31"/>
      <c r="C9" s="70"/>
      <c r="D9" s="70"/>
      <c r="E9" s="70"/>
      <c r="F9" s="70"/>
    </row>
    <row r="10" spans="1:7" x14ac:dyDescent="0.25">
      <c r="A10" s="31" t="s">
        <v>74</v>
      </c>
      <c r="B10" s="31"/>
      <c r="C10" s="70"/>
      <c r="D10" s="70"/>
      <c r="E10" s="70"/>
      <c r="F10" s="70"/>
    </row>
    <row r="11" spans="1:7" ht="15.75" thickBot="1" x14ac:dyDescent="0.3">
      <c r="A11" s="44" t="s">
        <v>76</v>
      </c>
      <c r="B11" s="45">
        <f>SUM(B5:B10)</f>
        <v>114434.38791666666</v>
      </c>
      <c r="C11" s="45">
        <f t="shared" ref="C11:F11" si="0">SUM(C5:C10)</f>
        <v>9514.8024000000005</v>
      </c>
      <c r="D11" s="45">
        <f t="shared" si="0"/>
        <v>748.00600000000009</v>
      </c>
      <c r="E11" s="45">
        <f t="shared" si="0"/>
        <v>0</v>
      </c>
      <c r="F11" s="45">
        <f t="shared" si="0"/>
        <v>0</v>
      </c>
    </row>
    <row r="12" spans="1:7" ht="15.75" thickTop="1" x14ac:dyDescent="0.25"/>
    <row r="14" spans="1:7" x14ac:dyDescent="0.25">
      <c r="A14" s="41" t="s">
        <v>68</v>
      </c>
    </row>
    <row r="15" spans="1:7" ht="36.75" customHeight="1" x14ac:dyDescent="0.25">
      <c r="G15" s="29" t="s">
        <v>56</v>
      </c>
    </row>
    <row r="16" spans="1:7" x14ac:dyDescent="0.25">
      <c r="A16" s="42" t="s">
        <v>77</v>
      </c>
      <c r="B16" s="43"/>
      <c r="C16" s="43"/>
      <c r="D16" s="43"/>
      <c r="E16" s="43"/>
      <c r="F16" s="43"/>
      <c r="G16" s="46">
        <f>(B11)*0.419</f>
        <v>47948.008537083326</v>
      </c>
    </row>
    <row r="17" spans="1:7" x14ac:dyDescent="0.25">
      <c r="A17" s="42" t="s">
        <v>78</v>
      </c>
      <c r="B17" s="43"/>
      <c r="C17" s="43"/>
      <c r="D17" s="43"/>
      <c r="E17" s="43"/>
      <c r="F17" s="43"/>
      <c r="G17" s="46">
        <f>(C11-(D11+E11+F11))*0.419</f>
        <v>3673.2876916000005</v>
      </c>
    </row>
    <row r="18" spans="1:7" x14ac:dyDescent="0.25">
      <c r="A18" s="42" t="s">
        <v>52</v>
      </c>
      <c r="B18" s="43"/>
      <c r="C18" s="43"/>
      <c r="D18" s="43"/>
      <c r="E18" s="43"/>
      <c r="F18" s="43"/>
      <c r="G18" s="46">
        <f>((G16-G17)/G16)* 100</f>
        <v>92.339019275932898</v>
      </c>
    </row>
  </sheetData>
  <mergeCells count="3">
    <mergeCell ref="C3:F3"/>
    <mergeCell ref="B3:B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DAB5-70E5-4CE3-A67F-6ED5DC9F9092}">
  <dimension ref="A2:P34"/>
  <sheetViews>
    <sheetView view="pageBreakPreview" topLeftCell="A7" zoomScaleNormal="100" zoomScaleSheetLayoutView="100" zoomScalePageLayoutView="55" workbookViewId="0">
      <selection activeCell="A26" sqref="A26:B26"/>
    </sheetView>
  </sheetViews>
  <sheetFormatPr defaultRowHeight="15" x14ac:dyDescent="0.25"/>
  <cols>
    <col min="1" max="1" width="12.42578125" customWidth="1"/>
    <col min="2" max="2" width="17.5703125" customWidth="1"/>
    <col min="3" max="3" width="19.28515625" style="4" customWidth="1"/>
    <col min="4" max="4" width="10.85546875" customWidth="1"/>
    <col min="5" max="5" width="10.7109375" style="14" customWidth="1"/>
    <col min="6" max="6" width="12.42578125" style="14" customWidth="1"/>
    <col min="7" max="7" width="10.7109375" style="14" customWidth="1"/>
    <col min="8" max="8" width="12.42578125" style="14" customWidth="1"/>
    <col min="9" max="9" width="10.7109375" style="14" customWidth="1"/>
    <col min="10" max="11" width="19.85546875" customWidth="1"/>
    <col min="15" max="16" width="9.140625" hidden="1" customWidth="1"/>
  </cols>
  <sheetData>
    <row r="2" spans="1:16" ht="21.75" thickBot="1" x14ac:dyDescent="0.4">
      <c r="A2" s="93" t="s">
        <v>32</v>
      </c>
      <c r="B2" s="93"/>
      <c r="C2" s="93"/>
      <c r="D2" s="93"/>
      <c r="E2" s="93"/>
      <c r="F2" s="93"/>
      <c r="G2" s="93"/>
      <c r="H2" s="93"/>
      <c r="I2" s="93"/>
      <c r="J2" s="93"/>
      <c r="K2" s="61"/>
    </row>
    <row r="3" spans="1:16" ht="21.75" thickBot="1" x14ac:dyDescent="0.4">
      <c r="A3" s="87" t="s">
        <v>0</v>
      </c>
      <c r="B3" s="89" t="s">
        <v>1</v>
      </c>
      <c r="C3" s="91" t="s">
        <v>75</v>
      </c>
      <c r="D3" s="89" t="s">
        <v>2</v>
      </c>
      <c r="E3" s="89"/>
      <c r="F3" s="94" t="s">
        <v>57</v>
      </c>
      <c r="G3" s="94"/>
      <c r="H3" s="94" t="s">
        <v>99</v>
      </c>
      <c r="I3" s="94"/>
      <c r="J3" s="63" t="s">
        <v>57</v>
      </c>
      <c r="K3" s="64" t="s">
        <v>99</v>
      </c>
    </row>
    <row r="4" spans="1:16" ht="22.5" customHeight="1" x14ac:dyDescent="0.25">
      <c r="A4" s="88"/>
      <c r="B4" s="90"/>
      <c r="C4" s="92"/>
      <c r="D4" s="90"/>
      <c r="E4" s="90"/>
      <c r="F4" s="91" t="s">
        <v>93</v>
      </c>
      <c r="G4" s="89" t="s">
        <v>94</v>
      </c>
      <c r="H4" s="91" t="s">
        <v>93</v>
      </c>
      <c r="I4" s="89" t="s">
        <v>94</v>
      </c>
      <c r="J4" s="83" t="s">
        <v>31</v>
      </c>
      <c r="K4" s="83" t="s">
        <v>31</v>
      </c>
      <c r="O4" t="s">
        <v>90</v>
      </c>
      <c r="P4">
        <v>0.4</v>
      </c>
    </row>
    <row r="5" spans="1:16" ht="22.5" customHeight="1" x14ac:dyDescent="0.25">
      <c r="A5" s="88"/>
      <c r="B5" s="90"/>
      <c r="C5" s="92"/>
      <c r="D5" s="90"/>
      <c r="E5" s="90"/>
      <c r="F5" s="92"/>
      <c r="G5" s="90"/>
      <c r="H5" s="92"/>
      <c r="I5" s="90"/>
      <c r="J5" s="84"/>
      <c r="K5" s="84"/>
      <c r="O5" t="s">
        <v>91</v>
      </c>
      <c r="P5">
        <v>0.9</v>
      </c>
    </row>
    <row r="6" spans="1:16" ht="18" customHeight="1" x14ac:dyDescent="0.25">
      <c r="A6" t="s">
        <v>25</v>
      </c>
      <c r="B6" t="s">
        <v>27</v>
      </c>
      <c r="C6" s="57">
        <f>VLOOKUP(B6,(B$31:C$34),2,FALSE)</f>
        <v>6.3</v>
      </c>
      <c r="D6">
        <v>2596</v>
      </c>
      <c r="E6" s="15" t="str">
        <f>VLOOKUP(B6,B$31:D$34,3,FALSE)</f>
        <v>m2</v>
      </c>
      <c r="F6" s="56" t="s">
        <v>90</v>
      </c>
      <c r="G6" s="15">
        <f>IFERROR(VLOOKUP(F6,O$4:P$6,2,FALSE), "")</f>
        <v>0.4</v>
      </c>
      <c r="H6" s="56" t="s">
        <v>91</v>
      </c>
      <c r="I6" s="15">
        <f>IFERROR(VLOOKUP(H6,$O$4:$P$6,2,FALSE), "")</f>
        <v>0.9</v>
      </c>
      <c r="J6">
        <f>IFERROR(((C6*D6)/G6),"")</f>
        <v>40886.999999999993</v>
      </c>
      <c r="K6" s="66">
        <f>IFERROR(((C6*D6)/I6),"")</f>
        <v>18172</v>
      </c>
      <c r="O6" t="s">
        <v>92</v>
      </c>
      <c r="P6">
        <v>0.625</v>
      </c>
    </row>
    <row r="7" spans="1:16" ht="18" customHeight="1" x14ac:dyDescent="0.25">
      <c r="B7" t="s">
        <v>26</v>
      </c>
      <c r="C7" s="57">
        <f t="shared" ref="C7:C8" si="0">VLOOKUP(B7,(B$31:C$34),2,FALSE)</f>
        <v>24</v>
      </c>
      <c r="D7">
        <v>81</v>
      </c>
      <c r="E7" s="15" t="str">
        <f t="shared" ref="E7:E8" si="1">VLOOKUP(B7,B$31:D$34,3,FALSE)</f>
        <v>Nos</v>
      </c>
      <c r="F7" s="56" t="s">
        <v>90</v>
      </c>
      <c r="G7" s="15">
        <f t="shared" ref="G7:G18" si="2">IFERROR(VLOOKUP(F7,O$4:P$6,2,FALSE), "")</f>
        <v>0.4</v>
      </c>
      <c r="H7" s="56" t="s">
        <v>91</v>
      </c>
      <c r="I7" s="15">
        <f t="shared" ref="I7:I18" si="3">IFERROR(VLOOKUP(H7,$O$4:$P$6,2,FALSE), "")</f>
        <v>0.9</v>
      </c>
      <c r="J7">
        <f t="shared" ref="J7:J23" si="4">IFERROR(((C7*D7)/G7),"")</f>
        <v>4860</v>
      </c>
      <c r="K7" s="66">
        <f t="shared" ref="K7:K23" si="5">IFERROR(((C7*D7)/I7),"")</f>
        <v>2160</v>
      </c>
    </row>
    <row r="8" spans="1:16" ht="18" customHeight="1" x14ac:dyDescent="0.25">
      <c r="B8" t="s">
        <v>29</v>
      </c>
      <c r="C8" s="57">
        <f t="shared" si="0"/>
        <v>3.1</v>
      </c>
      <c r="D8">
        <v>531</v>
      </c>
      <c r="E8" s="15" t="str">
        <f t="shared" si="1"/>
        <v>m2</v>
      </c>
      <c r="F8" s="56" t="s">
        <v>90</v>
      </c>
      <c r="G8" s="15">
        <f t="shared" si="2"/>
        <v>0.4</v>
      </c>
      <c r="H8" s="56" t="s">
        <v>92</v>
      </c>
      <c r="I8" s="15">
        <f t="shared" si="3"/>
        <v>0.625</v>
      </c>
      <c r="J8">
        <f t="shared" si="4"/>
        <v>4115.25</v>
      </c>
      <c r="K8" s="66">
        <f t="shared" si="5"/>
        <v>2633.76</v>
      </c>
    </row>
    <row r="9" spans="1:16" ht="18" customHeight="1" x14ac:dyDescent="0.25">
      <c r="C9" s="57"/>
      <c r="E9" s="15"/>
      <c r="F9" s="56"/>
      <c r="G9" s="15" t="str">
        <f t="shared" si="2"/>
        <v/>
      </c>
      <c r="H9" s="56"/>
      <c r="I9" s="15" t="str">
        <f t="shared" si="3"/>
        <v/>
      </c>
      <c r="J9" t="str">
        <f t="shared" si="4"/>
        <v/>
      </c>
      <c r="K9" s="66" t="str">
        <f t="shared" si="5"/>
        <v/>
      </c>
    </row>
    <row r="10" spans="1:16" ht="18" customHeight="1" x14ac:dyDescent="0.25">
      <c r="C10" s="57"/>
      <c r="E10" s="15"/>
      <c r="F10" s="56"/>
      <c r="G10" s="15" t="str">
        <f t="shared" si="2"/>
        <v/>
      </c>
      <c r="H10" s="56"/>
      <c r="I10" s="15" t="str">
        <f t="shared" si="3"/>
        <v/>
      </c>
      <c r="J10" t="str">
        <f t="shared" si="4"/>
        <v/>
      </c>
      <c r="K10" s="66" t="str">
        <f t="shared" si="5"/>
        <v/>
      </c>
    </row>
    <row r="11" spans="1:16" ht="18" customHeight="1" x14ac:dyDescent="0.25">
      <c r="C11" s="57"/>
      <c r="E11" s="15"/>
      <c r="F11" s="56"/>
      <c r="G11" s="15" t="str">
        <f t="shared" si="2"/>
        <v/>
      </c>
      <c r="H11" s="56"/>
      <c r="I11" s="15" t="str">
        <f t="shared" si="3"/>
        <v/>
      </c>
      <c r="J11" t="str">
        <f t="shared" si="4"/>
        <v/>
      </c>
      <c r="K11" s="66" t="str">
        <f t="shared" si="5"/>
        <v/>
      </c>
    </row>
    <row r="12" spans="1:16" ht="18" customHeight="1" x14ac:dyDescent="0.25">
      <c r="C12" s="57"/>
      <c r="E12" s="15"/>
      <c r="F12" s="56"/>
      <c r="G12" s="15" t="str">
        <f t="shared" si="2"/>
        <v/>
      </c>
      <c r="H12" s="56"/>
      <c r="I12" s="15" t="str">
        <f t="shared" si="3"/>
        <v/>
      </c>
      <c r="J12" t="str">
        <f t="shared" si="4"/>
        <v/>
      </c>
      <c r="K12" s="66" t="str">
        <f t="shared" si="5"/>
        <v/>
      </c>
    </row>
    <row r="13" spans="1:16" ht="18" customHeight="1" x14ac:dyDescent="0.25">
      <c r="C13" s="57"/>
      <c r="E13" s="15"/>
      <c r="F13" s="56"/>
      <c r="G13" s="15" t="str">
        <f t="shared" si="2"/>
        <v/>
      </c>
      <c r="H13" s="56"/>
      <c r="I13" s="15" t="str">
        <f t="shared" si="3"/>
        <v/>
      </c>
      <c r="J13" t="str">
        <f t="shared" si="4"/>
        <v/>
      </c>
      <c r="K13" s="66" t="str">
        <f t="shared" si="5"/>
        <v/>
      </c>
    </row>
    <row r="14" spans="1:16" ht="18" customHeight="1" x14ac:dyDescent="0.25">
      <c r="C14" s="57"/>
      <c r="E14" s="15"/>
      <c r="F14" s="56"/>
      <c r="G14" s="15" t="str">
        <f t="shared" si="2"/>
        <v/>
      </c>
      <c r="H14" s="56"/>
      <c r="I14" s="15" t="str">
        <f t="shared" si="3"/>
        <v/>
      </c>
      <c r="J14" t="str">
        <f t="shared" si="4"/>
        <v/>
      </c>
      <c r="K14" s="66" t="str">
        <f t="shared" si="5"/>
        <v/>
      </c>
    </row>
    <row r="15" spans="1:16" ht="18" customHeight="1" x14ac:dyDescent="0.25">
      <c r="C15" s="57"/>
      <c r="E15" s="15"/>
      <c r="F15" s="56"/>
      <c r="G15" s="15" t="str">
        <f t="shared" si="2"/>
        <v/>
      </c>
      <c r="H15" s="56"/>
      <c r="I15" s="15" t="str">
        <f t="shared" si="3"/>
        <v/>
      </c>
      <c r="J15" t="str">
        <f t="shared" si="4"/>
        <v/>
      </c>
      <c r="K15" s="66" t="str">
        <f t="shared" si="5"/>
        <v/>
      </c>
    </row>
    <row r="16" spans="1:16" ht="18" customHeight="1" x14ac:dyDescent="0.25">
      <c r="C16" s="57"/>
      <c r="E16" s="15"/>
      <c r="F16" s="56"/>
      <c r="G16" s="15" t="str">
        <f t="shared" si="2"/>
        <v/>
      </c>
      <c r="H16" s="56"/>
      <c r="I16" s="15" t="str">
        <f t="shared" si="3"/>
        <v/>
      </c>
      <c r="J16" t="str">
        <f t="shared" si="4"/>
        <v/>
      </c>
      <c r="K16" s="66" t="str">
        <f t="shared" si="5"/>
        <v/>
      </c>
    </row>
    <row r="17" spans="1:11" ht="18" customHeight="1" x14ac:dyDescent="0.25">
      <c r="C17" s="57"/>
      <c r="E17" s="15"/>
      <c r="F17" s="56"/>
      <c r="G17" s="15" t="str">
        <f t="shared" si="2"/>
        <v/>
      </c>
      <c r="H17" s="56"/>
      <c r="I17" s="15" t="str">
        <f t="shared" si="3"/>
        <v/>
      </c>
      <c r="J17" t="str">
        <f t="shared" si="4"/>
        <v/>
      </c>
      <c r="K17" s="66" t="str">
        <f t="shared" si="5"/>
        <v/>
      </c>
    </row>
    <row r="18" spans="1:11" ht="18" customHeight="1" x14ac:dyDescent="0.25">
      <c r="C18" s="57"/>
      <c r="E18" s="15"/>
      <c r="F18" s="56"/>
      <c r="G18" s="15" t="str">
        <f t="shared" si="2"/>
        <v/>
      </c>
      <c r="H18" s="56"/>
      <c r="I18" s="15" t="str">
        <f t="shared" si="3"/>
        <v/>
      </c>
      <c r="J18" t="str">
        <f t="shared" si="4"/>
        <v/>
      </c>
      <c r="K18" s="66" t="str">
        <f t="shared" si="5"/>
        <v/>
      </c>
    </row>
    <row r="19" spans="1:11" x14ac:dyDescent="0.25">
      <c r="C19" s="57" t="str">
        <f>IFERROR(VLOOKUP(B19,(B$31:C$34),2,FALSE),"")</f>
        <v/>
      </c>
      <c r="E19" s="15" t="str">
        <f>IFERROR(VLOOKUP(B19,B$31:D$34,3,FALSE),"")</f>
        <v/>
      </c>
      <c r="F19" s="56"/>
      <c r="G19" s="15" t="str">
        <f t="shared" ref="G19:G23" si="6">IFERROR(VLOOKUP(F19,O$4:P$6,2,FALSE), "")</f>
        <v/>
      </c>
      <c r="H19" s="56"/>
      <c r="I19" s="15" t="str">
        <f t="shared" ref="I19:I23" si="7">IFERROR(VLOOKUP(H19,Q$4:R$6,2,FALSE), "")</f>
        <v/>
      </c>
      <c r="J19" t="str">
        <f t="shared" si="4"/>
        <v/>
      </c>
      <c r="K19" s="66" t="str">
        <f t="shared" si="5"/>
        <v/>
      </c>
    </row>
    <row r="20" spans="1:11" x14ac:dyDescent="0.25">
      <c r="C20" s="57" t="str">
        <f>IFERROR(VLOOKUP(B20,(B$31:C$34),2,FALSE),"")</f>
        <v/>
      </c>
      <c r="E20" s="15" t="str">
        <f>IFERROR(VLOOKUP(B20,B$31:D$34,3,FALSE),"")</f>
        <v/>
      </c>
      <c r="F20" s="56"/>
      <c r="G20" s="15" t="str">
        <f t="shared" si="6"/>
        <v/>
      </c>
      <c r="H20" s="56"/>
      <c r="I20" s="15" t="str">
        <f t="shared" si="7"/>
        <v/>
      </c>
      <c r="J20" t="str">
        <f t="shared" si="4"/>
        <v/>
      </c>
      <c r="K20" s="66" t="str">
        <f t="shared" si="5"/>
        <v/>
      </c>
    </row>
    <row r="21" spans="1:11" ht="18" customHeight="1" x14ac:dyDescent="0.25">
      <c r="C21" s="57" t="str">
        <f>IFERROR(VLOOKUP(B21,(B$31:C$34),2,FALSE),"")</f>
        <v/>
      </c>
      <c r="E21" s="15" t="str">
        <f>IFERROR(VLOOKUP(B21,B$31:D$34,3,FALSE),"")</f>
        <v/>
      </c>
      <c r="F21" s="56"/>
      <c r="G21" s="15" t="str">
        <f t="shared" si="6"/>
        <v/>
      </c>
      <c r="H21" s="56"/>
      <c r="I21" s="15" t="str">
        <f t="shared" si="7"/>
        <v/>
      </c>
      <c r="J21" t="str">
        <f t="shared" si="4"/>
        <v/>
      </c>
      <c r="K21" s="66" t="str">
        <f t="shared" si="5"/>
        <v/>
      </c>
    </row>
    <row r="22" spans="1:11" x14ac:dyDescent="0.25">
      <c r="C22" s="57"/>
      <c r="E22" s="15"/>
      <c r="F22" s="56"/>
      <c r="G22" s="15" t="str">
        <f t="shared" si="6"/>
        <v/>
      </c>
      <c r="H22" s="56"/>
      <c r="I22" s="15" t="str">
        <f t="shared" si="7"/>
        <v/>
      </c>
      <c r="J22" t="str">
        <f t="shared" si="4"/>
        <v/>
      </c>
      <c r="K22" s="66" t="str">
        <f t="shared" si="5"/>
        <v/>
      </c>
    </row>
    <row r="23" spans="1:11" ht="15.75" thickBot="1" x14ac:dyDescent="0.3">
      <c r="C23" s="57"/>
      <c r="E23" s="15"/>
      <c r="F23" s="56"/>
      <c r="G23" s="15" t="str">
        <f t="shared" si="6"/>
        <v/>
      </c>
      <c r="H23" s="56"/>
      <c r="I23" s="15" t="str">
        <f t="shared" si="7"/>
        <v/>
      </c>
      <c r="J23" t="str">
        <f t="shared" si="4"/>
        <v/>
      </c>
      <c r="K23" s="66" t="str">
        <f t="shared" si="5"/>
        <v/>
      </c>
    </row>
    <row r="24" spans="1:11" ht="15.75" thickBot="1" x14ac:dyDescent="0.3">
      <c r="A24" s="16"/>
      <c r="B24" s="17"/>
      <c r="C24" s="65"/>
      <c r="D24" s="17"/>
      <c r="E24" s="26"/>
      <c r="F24" s="26"/>
      <c r="G24" s="26"/>
      <c r="H24" s="26"/>
      <c r="I24" s="26"/>
      <c r="J24" s="18">
        <f>IFERROR((SUM(J$6:J$23)),"")</f>
        <v>49862.249999999993</v>
      </c>
      <c r="K24" s="67">
        <f>IFERROR((SUM(K$6:K$23)),"")</f>
        <v>22965.760000000002</v>
      </c>
    </row>
    <row r="25" spans="1:11" ht="30.75" customHeight="1" thickBot="1" x14ac:dyDescent="0.3">
      <c r="A25" s="85" t="s">
        <v>98</v>
      </c>
      <c r="B25" s="86"/>
      <c r="C25" s="62">
        <f>SUM(J24)</f>
        <v>49862.249999999993</v>
      </c>
    </row>
    <row r="26" spans="1:11" ht="30.75" customHeight="1" thickBot="1" x14ac:dyDescent="0.3">
      <c r="A26" s="85" t="s">
        <v>69</v>
      </c>
      <c r="B26" s="86"/>
      <c r="C26" s="58">
        <f>C25*365</f>
        <v>18199721.249999996</v>
      </c>
    </row>
    <row r="27" spans="1:11" ht="15.75" thickBot="1" x14ac:dyDescent="0.3"/>
    <row r="28" spans="1:11" ht="30.75" customHeight="1" thickBot="1" x14ac:dyDescent="0.3">
      <c r="A28" s="85" t="s">
        <v>101</v>
      </c>
      <c r="B28" s="86"/>
      <c r="C28" s="68">
        <f>K24</f>
        <v>22965.760000000002</v>
      </c>
    </row>
    <row r="29" spans="1:11" ht="30.75" customHeight="1" thickBot="1" x14ac:dyDescent="0.3">
      <c r="A29" s="85" t="s">
        <v>69</v>
      </c>
      <c r="B29" s="86"/>
      <c r="C29" s="68">
        <f>C28*365</f>
        <v>8382502.4000000004</v>
      </c>
    </row>
    <row r="31" spans="1:11" ht="15.75" hidden="1" customHeight="1" thickBot="1" x14ac:dyDescent="0.3">
      <c r="B31" t="s">
        <v>26</v>
      </c>
      <c r="C31" s="4">
        <v>24</v>
      </c>
      <c r="D31" t="s">
        <v>30</v>
      </c>
    </row>
    <row r="32" spans="1:11" ht="17.25" hidden="1" x14ac:dyDescent="0.25">
      <c r="B32" t="s">
        <v>27</v>
      </c>
      <c r="C32" s="4">
        <v>6.3</v>
      </c>
      <c r="D32" t="s">
        <v>13</v>
      </c>
    </row>
    <row r="33" spans="2:4" hidden="1" x14ac:dyDescent="0.25">
      <c r="B33" t="s">
        <v>28</v>
      </c>
      <c r="C33" s="4">
        <v>7.1</v>
      </c>
      <c r="D33" t="s">
        <v>30</v>
      </c>
    </row>
    <row r="34" spans="2:4" ht="17.25" hidden="1" x14ac:dyDescent="0.25">
      <c r="B34" t="s">
        <v>29</v>
      </c>
      <c r="C34" s="4">
        <v>3.1</v>
      </c>
      <c r="D34" t="s">
        <v>13</v>
      </c>
    </row>
  </sheetData>
  <mergeCells count="17">
    <mergeCell ref="A2:J2"/>
    <mergeCell ref="J4:J5"/>
    <mergeCell ref="F4:F5"/>
    <mergeCell ref="G4:G5"/>
    <mergeCell ref="H4:H5"/>
    <mergeCell ref="I4:I5"/>
    <mergeCell ref="F3:G3"/>
    <mergeCell ref="H3:I3"/>
    <mergeCell ref="K4:K5"/>
    <mergeCell ref="A28:B28"/>
    <mergeCell ref="A29:B29"/>
    <mergeCell ref="A3:A5"/>
    <mergeCell ref="B3:B5"/>
    <mergeCell ref="C3:C5"/>
    <mergeCell ref="D3:E5"/>
    <mergeCell ref="A26:B26"/>
    <mergeCell ref="A25:B25"/>
  </mergeCells>
  <dataValidations count="2">
    <dataValidation type="list" allowBlank="1" showInputMessage="1" showErrorMessage="1" sqref="B6:B23" xr:uid="{14ADCE8A-FB75-48F5-B607-3FB4B80726DD}">
      <formula1>$B$31:$B$34</formula1>
    </dataValidation>
    <dataValidation type="list" allowBlank="1" showInputMessage="1" showErrorMessage="1" sqref="F6:F23 H6:H23" xr:uid="{4FBCE018-8927-4145-AAEC-4889DF0329A9}">
      <formula1>$O$4:$O$6</formula1>
    </dataValidation>
  </dataValidations>
  <pageMargins left="0.7" right="0.7" top="0.75" bottom="0.75" header="0.3" footer="0.3"/>
  <pageSetup scale="54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78E97-A888-4CC2-8450-0405ACC0C2F2}">
  <dimension ref="A2:C27"/>
  <sheetViews>
    <sheetView topLeftCell="A13" zoomScaleNormal="100" workbookViewId="0">
      <selection activeCell="B26" sqref="B26"/>
    </sheetView>
  </sheetViews>
  <sheetFormatPr defaultRowHeight="15" x14ac:dyDescent="0.25"/>
  <cols>
    <col min="1" max="1" width="40" customWidth="1"/>
    <col min="2" max="2" width="45.5703125" style="14" customWidth="1"/>
    <col min="3" max="3" width="26.5703125" style="3" customWidth="1"/>
  </cols>
  <sheetData>
    <row r="2" spans="1:3" x14ac:dyDescent="0.25">
      <c r="A2" t="s">
        <v>3</v>
      </c>
    </row>
    <row r="4" spans="1:3" x14ac:dyDescent="0.25">
      <c r="A4" t="s">
        <v>4</v>
      </c>
    </row>
    <row r="6" spans="1:3" x14ac:dyDescent="0.25">
      <c r="A6" s="1" t="s">
        <v>5</v>
      </c>
    </row>
    <row r="7" spans="1:3" ht="15.75" thickBot="1" x14ac:dyDescent="0.3"/>
    <row r="8" spans="1:3" s="4" customFormat="1" ht="18" thickBot="1" x14ac:dyDescent="0.3">
      <c r="A8" s="22" t="s">
        <v>6</v>
      </c>
      <c r="B8" s="25" t="s">
        <v>13</v>
      </c>
      <c r="C8" s="23" t="s">
        <v>7</v>
      </c>
    </row>
    <row r="9" spans="1:3" x14ac:dyDescent="0.25">
      <c r="A9" s="19" t="s">
        <v>8</v>
      </c>
      <c r="C9" s="20">
        <v>0.8</v>
      </c>
    </row>
    <row r="10" spans="1:3" x14ac:dyDescent="0.25">
      <c r="A10" s="19" t="s">
        <v>9</v>
      </c>
      <c r="C10" s="20">
        <v>0.9</v>
      </c>
    </row>
    <row r="11" spans="1:3" x14ac:dyDescent="0.25">
      <c r="A11" s="19" t="s">
        <v>10</v>
      </c>
      <c r="B11" s="14">
        <v>644</v>
      </c>
      <c r="C11" s="20">
        <v>0.5</v>
      </c>
    </row>
    <row r="12" spans="1:3" x14ac:dyDescent="0.25">
      <c r="A12" s="19" t="s">
        <v>11</v>
      </c>
      <c r="C12" s="20">
        <v>0.7</v>
      </c>
    </row>
    <row r="13" spans="1:3" ht="15.75" thickBot="1" x14ac:dyDescent="0.3">
      <c r="A13" s="16" t="s">
        <v>12</v>
      </c>
      <c r="B13" s="26"/>
      <c r="C13" s="21">
        <v>0.3</v>
      </c>
    </row>
    <row r="15" spans="1:3" ht="17.25" x14ac:dyDescent="0.25">
      <c r="A15" s="2" t="s">
        <v>24</v>
      </c>
      <c r="B15" s="27">
        <f>SUM(B9:B13)</f>
        <v>644</v>
      </c>
    </row>
    <row r="16" spans="1:3" x14ac:dyDescent="0.25">
      <c r="A16" s="2" t="s">
        <v>14</v>
      </c>
      <c r="B16" s="27">
        <f>SUMPRODUCT(B9:B13,C9:C13)</f>
        <v>322</v>
      </c>
    </row>
    <row r="19" spans="1:3" x14ac:dyDescent="0.25">
      <c r="A19" s="9" t="s">
        <v>15</v>
      </c>
      <c r="B19" s="12" t="s">
        <v>16</v>
      </c>
      <c r="C19" s="5"/>
    </row>
    <row r="20" spans="1:3" ht="45" x14ac:dyDescent="0.25">
      <c r="A20" s="10" t="s">
        <v>17</v>
      </c>
      <c r="B20" s="24" t="s">
        <v>23</v>
      </c>
    </row>
    <row r="21" spans="1:3" x14ac:dyDescent="0.25">
      <c r="A21" s="11" t="str">
        <f>IF(B19="Bacfree System","Vortex Efficiency (%)","First Flush Diversion (L/sqm)")</f>
        <v>First Flush Diversion (L/sqm)</v>
      </c>
      <c r="B21" s="12">
        <v>1</v>
      </c>
    </row>
    <row r="22" spans="1:3" x14ac:dyDescent="0.25">
      <c r="A22" s="11" t="s">
        <v>18</v>
      </c>
      <c r="B22" s="13">
        <v>160000</v>
      </c>
    </row>
    <row r="23" spans="1:3" x14ac:dyDescent="0.25">
      <c r="A23" s="11" t="s">
        <v>19</v>
      </c>
      <c r="B23" s="6">
        <f>2325*B16-(B21*B15)</f>
        <v>748006</v>
      </c>
    </row>
    <row r="24" spans="1:3" x14ac:dyDescent="0.25">
      <c r="A24" s="11" t="s">
        <v>20</v>
      </c>
      <c r="B24" s="6">
        <f>IF(((B23/365)&lt;(B22)),(B23/365),B22)</f>
        <v>2049.3315068493152</v>
      </c>
    </row>
    <row r="25" spans="1:3" x14ac:dyDescent="0.25">
      <c r="A25" s="11" t="s">
        <v>21</v>
      </c>
      <c r="B25" s="6">
        <f>'Landscape irrigation  '!C28</f>
        <v>22965.760000000002</v>
      </c>
    </row>
    <row r="26" spans="1:3" x14ac:dyDescent="0.25">
      <c r="A26" s="11" t="s">
        <v>22</v>
      </c>
      <c r="B26" s="7">
        <f>(B24/B25)*100</f>
        <v>8.9234212447108874</v>
      </c>
    </row>
    <row r="27" spans="1:3" x14ac:dyDescent="0.25">
      <c r="A27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4B86-C740-44FC-9487-696BE55D39A0}">
  <dimension ref="A3:L49"/>
  <sheetViews>
    <sheetView tabSelected="1" topLeftCell="A25" zoomScale="85" zoomScaleNormal="85" workbookViewId="0">
      <selection activeCell="C34" sqref="C34"/>
    </sheetView>
  </sheetViews>
  <sheetFormatPr defaultRowHeight="15" x14ac:dyDescent="0.25"/>
  <cols>
    <col min="1" max="1" width="24.7109375" style="28" customWidth="1"/>
    <col min="2" max="2" width="23.42578125" style="28" customWidth="1"/>
    <col min="3" max="3" width="20.7109375" style="29" customWidth="1"/>
    <col min="4" max="4" width="22.42578125" style="28" customWidth="1"/>
    <col min="5" max="5" width="17.42578125" style="28" customWidth="1"/>
    <col min="6" max="6" width="38" style="28" customWidth="1"/>
    <col min="7" max="7" width="9.140625" style="28"/>
    <col min="8" max="8" width="0" style="28" hidden="1" customWidth="1"/>
    <col min="9" max="9" width="16.85546875" style="28" hidden="1" customWidth="1"/>
    <col min="10" max="10" width="14" style="28" hidden="1" customWidth="1"/>
    <col min="11" max="11" width="11.7109375" style="28" hidden="1" customWidth="1"/>
    <col min="12" max="12" width="21.5703125" style="29" hidden="1" customWidth="1"/>
    <col min="13" max="13" width="21.5703125" style="28" customWidth="1"/>
    <col min="14" max="16384" width="9.140625" style="28"/>
  </cols>
  <sheetData>
    <row r="3" spans="1:12" x14ac:dyDescent="0.25">
      <c r="A3" s="97" t="s">
        <v>46</v>
      </c>
      <c r="B3" s="97"/>
      <c r="C3" s="97"/>
      <c r="D3" s="97"/>
      <c r="E3" s="97"/>
    </row>
    <row r="4" spans="1:12" x14ac:dyDescent="0.25">
      <c r="A4" s="95" t="s">
        <v>47</v>
      </c>
      <c r="B4" s="95"/>
      <c r="C4" s="95"/>
      <c r="D4" s="73">
        <v>100</v>
      </c>
      <c r="E4" s="31" t="s">
        <v>49</v>
      </c>
    </row>
    <row r="5" spans="1:12" x14ac:dyDescent="0.25">
      <c r="A5" s="95" t="s">
        <v>48</v>
      </c>
      <c r="B5" s="95"/>
      <c r="C5" s="95"/>
      <c r="D5" s="73">
        <v>260</v>
      </c>
      <c r="E5" s="31" t="s">
        <v>50</v>
      </c>
      <c r="I5" s="28" t="s">
        <v>57</v>
      </c>
      <c r="J5" s="28" t="s">
        <v>80</v>
      </c>
      <c r="K5" s="28" t="s">
        <v>81</v>
      </c>
      <c r="L5" s="29" t="s">
        <v>82</v>
      </c>
    </row>
    <row r="6" spans="1:12" x14ac:dyDescent="0.25">
      <c r="I6" s="28" t="s">
        <v>58</v>
      </c>
      <c r="J6" s="32">
        <v>6</v>
      </c>
      <c r="K6" s="32">
        <v>4</v>
      </c>
      <c r="L6" s="29">
        <v>1</v>
      </c>
    </row>
    <row r="7" spans="1:12" ht="15.75" x14ac:dyDescent="0.25">
      <c r="A7" s="33" t="s">
        <v>33</v>
      </c>
      <c r="I7" s="28" t="s">
        <v>59</v>
      </c>
      <c r="J7" s="32">
        <v>2.5</v>
      </c>
      <c r="K7" s="32">
        <v>4</v>
      </c>
      <c r="L7" s="29">
        <v>1</v>
      </c>
    </row>
    <row r="9" spans="1:12" x14ac:dyDescent="0.25">
      <c r="A9" s="97" t="s">
        <v>34</v>
      </c>
      <c r="B9" s="97"/>
      <c r="C9" s="97"/>
      <c r="D9" s="97"/>
      <c r="E9" s="97"/>
      <c r="F9" s="97"/>
    </row>
    <row r="10" spans="1:12" s="32" customFormat="1" x14ac:dyDescent="0.25">
      <c r="A10" s="34" t="s">
        <v>40</v>
      </c>
      <c r="B10" s="35" t="s">
        <v>36</v>
      </c>
      <c r="C10" s="36" t="s">
        <v>37</v>
      </c>
      <c r="D10" s="98" t="s">
        <v>38</v>
      </c>
      <c r="E10" s="98"/>
      <c r="F10" s="35" t="s">
        <v>39</v>
      </c>
      <c r="I10" s="47" t="s">
        <v>60</v>
      </c>
      <c r="J10" s="32">
        <v>8</v>
      </c>
      <c r="K10" s="29">
        <v>1</v>
      </c>
      <c r="L10" s="29">
        <v>5</v>
      </c>
    </row>
    <row r="11" spans="1:12" s="32" customFormat="1" x14ac:dyDescent="0.25">
      <c r="A11" s="72" t="s">
        <v>58</v>
      </c>
      <c r="B11" s="74" t="s">
        <v>51</v>
      </c>
      <c r="C11" s="37">
        <f>IFERROR(VLOOKUP(A11,I6:L7,3,FALSE),"")</f>
        <v>4</v>
      </c>
      <c r="D11" s="99">
        <f>IFERROR(VLOOKUP(A11,$I$6:$L$7,2,FALSE),"")</f>
        <v>6</v>
      </c>
      <c r="E11" s="100"/>
      <c r="F11" s="31">
        <f>IFERROR((C11*D11),"")</f>
        <v>24</v>
      </c>
      <c r="I11" s="47" t="s">
        <v>61</v>
      </c>
      <c r="J11" s="32">
        <v>8</v>
      </c>
      <c r="K11" s="29">
        <v>1</v>
      </c>
      <c r="L11" s="29">
        <v>5</v>
      </c>
    </row>
    <row r="12" spans="1:12" s="32" customFormat="1" x14ac:dyDescent="0.25">
      <c r="A12" s="72" t="s">
        <v>59</v>
      </c>
      <c r="B12" s="74" t="s">
        <v>51</v>
      </c>
      <c r="C12" s="37">
        <f t="shared" ref="C12:C14" si="0">IFERROR(VLOOKUP(A12,I7:L8,3,FALSE),"")</f>
        <v>4</v>
      </c>
      <c r="D12" s="99">
        <f t="shared" ref="D12:D14" si="1">IFERROR(VLOOKUP(A12,$I$6:$L$7,2,FALSE),"")</f>
        <v>2.5</v>
      </c>
      <c r="E12" s="100"/>
      <c r="F12" s="31">
        <f t="shared" ref="F12:F14" si="2">IFERROR((C12*D12),"")</f>
        <v>10</v>
      </c>
      <c r="I12" s="47" t="s">
        <v>83</v>
      </c>
      <c r="J12" s="32">
        <v>8</v>
      </c>
      <c r="K12" s="29">
        <v>1</v>
      </c>
      <c r="L12" s="29">
        <v>15</v>
      </c>
    </row>
    <row r="13" spans="1:12" x14ac:dyDescent="0.25">
      <c r="A13" s="73"/>
      <c r="B13" s="75"/>
      <c r="C13" s="37" t="str">
        <f t="shared" si="0"/>
        <v/>
      </c>
      <c r="D13" s="99" t="str">
        <f t="shared" si="1"/>
        <v/>
      </c>
      <c r="E13" s="100"/>
      <c r="F13" s="31" t="str">
        <f t="shared" si="2"/>
        <v/>
      </c>
      <c r="I13" s="47" t="s">
        <v>64</v>
      </c>
      <c r="J13" s="29">
        <v>8</v>
      </c>
      <c r="K13" s="29">
        <v>4</v>
      </c>
      <c r="L13" s="29">
        <v>15</v>
      </c>
    </row>
    <row r="14" spans="1:12" x14ac:dyDescent="0.25">
      <c r="A14" s="73"/>
      <c r="B14" s="75"/>
      <c r="C14" s="37" t="str">
        <f t="shared" si="0"/>
        <v/>
      </c>
      <c r="D14" s="99" t="str">
        <f t="shared" si="1"/>
        <v/>
      </c>
      <c r="E14" s="100"/>
      <c r="F14" s="31" t="str">
        <f t="shared" si="2"/>
        <v/>
      </c>
      <c r="I14" s="47" t="s">
        <v>62</v>
      </c>
      <c r="J14" s="32">
        <v>8</v>
      </c>
      <c r="K14" s="29">
        <v>2</v>
      </c>
      <c r="L14" s="29">
        <v>30</v>
      </c>
    </row>
    <row r="15" spans="1:12" x14ac:dyDescent="0.25">
      <c r="A15" s="95" t="s">
        <v>45</v>
      </c>
      <c r="B15" s="95"/>
      <c r="C15" s="95"/>
      <c r="D15" s="95"/>
      <c r="E15" s="95"/>
      <c r="F15" s="30">
        <f>SUM(F11:F14)</f>
        <v>34</v>
      </c>
      <c r="I15" s="47" t="s">
        <v>63</v>
      </c>
      <c r="J15" s="32">
        <v>10</v>
      </c>
      <c r="K15" s="29">
        <v>1</v>
      </c>
      <c r="L15" s="29">
        <v>360</v>
      </c>
    </row>
    <row r="17" spans="1:12" x14ac:dyDescent="0.25">
      <c r="A17" s="96" t="s">
        <v>41</v>
      </c>
      <c r="B17" s="96"/>
      <c r="C17" s="96"/>
      <c r="D17" s="96"/>
      <c r="E17" s="96"/>
      <c r="F17" s="96"/>
    </row>
    <row r="18" spans="1:12" s="29" customFormat="1" x14ac:dyDescent="0.25">
      <c r="A18" s="38" t="s">
        <v>40</v>
      </c>
      <c r="B18" s="36" t="s">
        <v>42</v>
      </c>
      <c r="C18" s="36" t="s">
        <v>37</v>
      </c>
      <c r="D18" s="36" t="s">
        <v>38</v>
      </c>
      <c r="E18" s="36" t="s">
        <v>43</v>
      </c>
      <c r="F18" s="36" t="s">
        <v>39</v>
      </c>
      <c r="I18" s="48" t="s">
        <v>6</v>
      </c>
    </row>
    <row r="19" spans="1:12" x14ac:dyDescent="0.25">
      <c r="A19" s="73" t="s">
        <v>61</v>
      </c>
      <c r="B19" s="74" t="s">
        <v>51</v>
      </c>
      <c r="C19" s="37">
        <f>IFERROR(VLOOKUP(A19,$I$10:$L$15,3,FALSE),"")</f>
        <v>1</v>
      </c>
      <c r="D19" s="37">
        <f>IFERROR(VLOOKUP(A19,$I$10:$L$15,2,FALSE),"")</f>
        <v>8</v>
      </c>
      <c r="E19" s="37">
        <f>IFERROR(VLOOKUP(A19,$I$10:$L$15,4,FALSE),"")</f>
        <v>5</v>
      </c>
      <c r="F19" s="76">
        <f>IFERROR(C19*D19*(E19/60),"")</f>
        <v>0.66666666666666663</v>
      </c>
      <c r="I19" s="28" t="s">
        <v>84</v>
      </c>
      <c r="J19" s="28" t="s">
        <v>51</v>
      </c>
      <c r="K19" s="28" t="s">
        <v>87</v>
      </c>
    </row>
    <row r="20" spans="1:12" x14ac:dyDescent="0.25">
      <c r="A20" s="73" t="s">
        <v>62</v>
      </c>
      <c r="B20" s="74" t="s">
        <v>51</v>
      </c>
      <c r="C20" s="37">
        <f t="shared" ref="C20:C23" si="3">IFERROR(VLOOKUP(A20,$I$10:$L$15,3,FALSE),"")</f>
        <v>2</v>
      </c>
      <c r="D20" s="37">
        <f t="shared" ref="D20:D23" si="4">IFERROR(VLOOKUP(A20,$I$10:$L$15,2,FALSE),"")</f>
        <v>8</v>
      </c>
      <c r="E20" s="37">
        <f t="shared" ref="E20:E23" si="5">IFERROR(VLOOKUP(A20,$I$10:$L$15,4,FALSE),"")</f>
        <v>30</v>
      </c>
      <c r="F20" s="76">
        <f t="shared" ref="F20:F21" si="6">IFERROR(C20*D20*(E20/60),"")</f>
        <v>8</v>
      </c>
      <c r="I20" s="28" t="s">
        <v>58</v>
      </c>
      <c r="J20" s="28" t="s">
        <v>85</v>
      </c>
      <c r="K20" s="28" t="s">
        <v>86</v>
      </c>
    </row>
    <row r="21" spans="1:12" x14ac:dyDescent="0.25">
      <c r="A21" s="73" t="s">
        <v>62</v>
      </c>
      <c r="B21" s="74" t="s">
        <v>51</v>
      </c>
      <c r="C21" s="37">
        <f t="shared" si="3"/>
        <v>2</v>
      </c>
      <c r="D21" s="37">
        <f t="shared" si="4"/>
        <v>8</v>
      </c>
      <c r="E21" s="37">
        <f t="shared" si="5"/>
        <v>30</v>
      </c>
      <c r="F21" s="76">
        <f t="shared" si="6"/>
        <v>8</v>
      </c>
      <c r="I21" s="28" t="s">
        <v>35</v>
      </c>
      <c r="J21" s="28" t="s">
        <v>88</v>
      </c>
      <c r="K21" s="28" t="s">
        <v>87</v>
      </c>
    </row>
    <row r="22" spans="1:12" x14ac:dyDescent="0.25">
      <c r="A22" s="73" t="s">
        <v>63</v>
      </c>
      <c r="B22" s="74" t="s">
        <v>51</v>
      </c>
      <c r="C22" s="37">
        <f t="shared" si="3"/>
        <v>1</v>
      </c>
      <c r="D22" s="37">
        <f t="shared" si="4"/>
        <v>10</v>
      </c>
      <c r="E22" s="37">
        <f t="shared" si="5"/>
        <v>360</v>
      </c>
      <c r="F22" s="31">
        <f t="shared" ref="F22:F23" si="7">IFERROR(C22*D22*E22, "")</f>
        <v>3600</v>
      </c>
    </row>
    <row r="23" spans="1:12" x14ac:dyDescent="0.25">
      <c r="A23" s="73"/>
      <c r="B23" s="74"/>
      <c r="C23" s="37" t="str">
        <f t="shared" si="3"/>
        <v/>
      </c>
      <c r="D23" s="37" t="str">
        <f t="shared" si="4"/>
        <v/>
      </c>
      <c r="E23" s="37" t="str">
        <f t="shared" si="5"/>
        <v/>
      </c>
      <c r="F23" s="31" t="str">
        <f t="shared" si="7"/>
        <v/>
      </c>
    </row>
    <row r="24" spans="1:12" x14ac:dyDescent="0.25">
      <c r="A24" s="95" t="s">
        <v>45</v>
      </c>
      <c r="B24" s="95"/>
      <c r="C24" s="95"/>
      <c r="D24" s="95"/>
      <c r="E24" s="95"/>
      <c r="F24" s="77">
        <f>SUM(F19:F23)</f>
        <v>3616.6666666666665</v>
      </c>
      <c r="I24" s="28" t="s">
        <v>51</v>
      </c>
      <c r="J24" s="28">
        <v>4</v>
      </c>
    </row>
    <row r="25" spans="1:12" x14ac:dyDescent="0.25">
      <c r="I25" s="28" t="s">
        <v>87</v>
      </c>
      <c r="J25" s="28">
        <v>3</v>
      </c>
    </row>
    <row r="26" spans="1:12" ht="15.75" x14ac:dyDescent="0.25">
      <c r="A26" s="33" t="s">
        <v>44</v>
      </c>
      <c r="I26" s="28" t="s">
        <v>85</v>
      </c>
      <c r="J26" s="28">
        <v>4</v>
      </c>
    </row>
    <row r="27" spans="1:12" x14ac:dyDescent="0.25">
      <c r="I27" s="28" t="s">
        <v>86</v>
      </c>
    </row>
    <row r="28" spans="1:12" x14ac:dyDescent="0.25">
      <c r="A28" s="97" t="s">
        <v>34</v>
      </c>
      <c r="B28" s="97"/>
      <c r="C28" s="97"/>
      <c r="D28" s="97"/>
      <c r="E28" s="97"/>
      <c r="F28" s="97"/>
    </row>
    <row r="29" spans="1:12" s="32" customFormat="1" x14ac:dyDescent="0.25">
      <c r="A29" s="34" t="s">
        <v>40</v>
      </c>
      <c r="B29" s="35" t="s">
        <v>36</v>
      </c>
      <c r="C29" s="36" t="s">
        <v>37</v>
      </c>
      <c r="D29" s="98" t="s">
        <v>38</v>
      </c>
      <c r="E29" s="98"/>
      <c r="F29" s="35" t="s">
        <v>39</v>
      </c>
      <c r="L29" s="29"/>
    </row>
    <row r="30" spans="1:12" s="32" customFormat="1" x14ac:dyDescent="0.25">
      <c r="A30" s="72" t="s">
        <v>58</v>
      </c>
      <c r="B30" s="74" t="s">
        <v>85</v>
      </c>
      <c r="C30" s="103">
        <v>3</v>
      </c>
      <c r="D30" s="101">
        <v>4</v>
      </c>
      <c r="E30" s="102"/>
      <c r="F30" s="39">
        <f>IFERROR(C30*D30, "")</f>
        <v>12</v>
      </c>
      <c r="L30" s="29"/>
    </row>
    <row r="31" spans="1:12" s="32" customFormat="1" x14ac:dyDescent="0.25">
      <c r="A31" s="72" t="s">
        <v>58</v>
      </c>
      <c r="B31" s="74" t="s">
        <v>86</v>
      </c>
      <c r="C31" s="103">
        <v>1</v>
      </c>
      <c r="D31" s="101">
        <v>3</v>
      </c>
      <c r="E31" s="102"/>
      <c r="F31" s="39">
        <f t="shared" ref="F31:F32" si="8">IFERROR(C31*D31, "")</f>
        <v>3</v>
      </c>
      <c r="L31" s="29"/>
    </row>
    <row r="32" spans="1:12" s="32" customFormat="1" x14ac:dyDescent="0.25">
      <c r="A32" s="72" t="s">
        <v>59</v>
      </c>
      <c r="B32" s="74" t="s">
        <v>87</v>
      </c>
      <c r="C32" s="37">
        <v>3</v>
      </c>
      <c r="D32" s="101">
        <v>0.5</v>
      </c>
      <c r="E32" s="102"/>
      <c r="F32" s="39">
        <f t="shared" si="8"/>
        <v>1.5</v>
      </c>
      <c r="L32" s="29"/>
    </row>
    <row r="33" spans="1:6" x14ac:dyDescent="0.25">
      <c r="A33" s="73"/>
      <c r="B33" s="75"/>
      <c r="C33" s="37" t="str">
        <f t="shared" ref="C33:C34" si="9">IFERROR(VLOOKUP(A33,$I$6:$L$7,3,FALSE),"")</f>
        <v/>
      </c>
      <c r="D33" s="101"/>
      <c r="E33" s="102"/>
      <c r="F33" s="39" t="str">
        <f t="shared" ref="F33:F34" si="10">IFERROR(C33*D33, "")</f>
        <v/>
      </c>
    </row>
    <row r="34" spans="1:6" x14ac:dyDescent="0.25">
      <c r="A34" s="73"/>
      <c r="B34" s="75"/>
      <c r="C34" s="50" t="str">
        <f t="shared" si="9"/>
        <v/>
      </c>
      <c r="D34" s="101"/>
      <c r="E34" s="102"/>
      <c r="F34" s="49" t="str">
        <f t="shared" si="10"/>
        <v/>
      </c>
    </row>
    <row r="35" spans="1:6" x14ac:dyDescent="0.25">
      <c r="A35" s="95" t="s">
        <v>45</v>
      </c>
      <c r="B35" s="95"/>
      <c r="C35" s="95"/>
      <c r="D35" s="95"/>
      <c r="E35" s="95"/>
      <c r="F35" s="30">
        <f>SUM(F30:F34)</f>
        <v>16.5</v>
      </c>
    </row>
    <row r="37" spans="1:6" x14ac:dyDescent="0.25">
      <c r="A37" s="96" t="s">
        <v>41</v>
      </c>
      <c r="B37" s="96"/>
      <c r="C37" s="96"/>
      <c r="D37" s="96"/>
      <c r="E37" s="96"/>
      <c r="F37" s="96"/>
    </row>
    <row r="38" spans="1:6" s="29" customFormat="1" x14ac:dyDescent="0.25">
      <c r="A38" s="38" t="s">
        <v>40</v>
      </c>
      <c r="B38" s="36" t="s">
        <v>42</v>
      </c>
      <c r="C38" s="36" t="s">
        <v>37</v>
      </c>
      <c r="D38" s="36" t="s">
        <v>102</v>
      </c>
      <c r="E38" s="36" t="s">
        <v>43</v>
      </c>
      <c r="F38" s="36" t="s">
        <v>39</v>
      </c>
    </row>
    <row r="39" spans="1:6" s="29" customFormat="1" x14ac:dyDescent="0.25">
      <c r="A39" s="55" t="s">
        <v>61</v>
      </c>
      <c r="B39" s="37" t="s">
        <v>87</v>
      </c>
      <c r="C39" s="37">
        <f>IFERROR(VLOOKUP(A39,$I$10:$L$15,3,FALSE),"")</f>
        <v>1</v>
      </c>
      <c r="D39" s="53">
        <v>6.9</v>
      </c>
      <c r="E39" s="37">
        <f>IFERROR(VLOOKUP(A39,$I$10:$L$15,4,FALSE),"")</f>
        <v>5</v>
      </c>
      <c r="F39" s="37">
        <f>IFERROR(C39*(D39)*E39/60, "")</f>
        <v>0.57499999999999996</v>
      </c>
    </row>
    <row r="40" spans="1:6" s="29" customFormat="1" x14ac:dyDescent="0.25">
      <c r="A40" s="55" t="s">
        <v>62</v>
      </c>
      <c r="B40" s="37" t="s">
        <v>87</v>
      </c>
      <c r="C40" s="37">
        <f t="shared" ref="C40:C43" si="11">IFERROR(VLOOKUP(A40,$I$10:$L$15,3,FALSE),"")</f>
        <v>2</v>
      </c>
      <c r="D40" s="53">
        <v>3</v>
      </c>
      <c r="E40" s="37">
        <f t="shared" ref="E40:E43" si="12">IFERROR(VLOOKUP(A40,$I$10:$L$15,4,FALSE),"")</f>
        <v>30</v>
      </c>
      <c r="F40" s="37">
        <f t="shared" ref="F40:F41" si="13">IFERROR(C40*(D40)*E40/60, "")</f>
        <v>3</v>
      </c>
    </row>
    <row r="41" spans="1:6" x14ac:dyDescent="0.25">
      <c r="A41" s="51" t="s">
        <v>64</v>
      </c>
      <c r="B41" s="39" t="s">
        <v>87</v>
      </c>
      <c r="C41" s="37">
        <f t="shared" si="11"/>
        <v>4</v>
      </c>
      <c r="D41" s="52">
        <v>1.7</v>
      </c>
      <c r="E41" s="37">
        <f t="shared" si="12"/>
        <v>15</v>
      </c>
      <c r="F41" s="37">
        <f t="shared" si="13"/>
        <v>1.7</v>
      </c>
    </row>
    <row r="42" spans="1:6" x14ac:dyDescent="0.25">
      <c r="A42" s="51"/>
      <c r="B42" s="39"/>
      <c r="C42" s="37" t="str">
        <f t="shared" si="11"/>
        <v/>
      </c>
      <c r="D42" s="52"/>
      <c r="E42" s="37" t="str">
        <f t="shared" si="12"/>
        <v/>
      </c>
      <c r="F42" s="37" t="str">
        <f t="shared" ref="F42:F43" si="14">IFERROR(C42*D42*E42, "")</f>
        <v/>
      </c>
    </row>
    <row r="43" spans="1:6" x14ac:dyDescent="0.25">
      <c r="A43" s="51"/>
      <c r="B43" s="39"/>
      <c r="C43" s="37" t="str">
        <f t="shared" si="11"/>
        <v/>
      </c>
      <c r="D43" s="52"/>
      <c r="E43" s="37" t="str">
        <f t="shared" si="12"/>
        <v/>
      </c>
      <c r="F43" s="37" t="str">
        <f t="shared" si="14"/>
        <v/>
      </c>
    </row>
    <row r="44" spans="1:6" x14ac:dyDescent="0.25">
      <c r="A44" s="95" t="s">
        <v>45</v>
      </c>
      <c r="B44" s="95"/>
      <c r="C44" s="95"/>
      <c r="D44" s="95"/>
      <c r="E44" s="95"/>
      <c r="F44" s="30">
        <f>SUM(F39:F43)</f>
        <v>5.2750000000000004</v>
      </c>
    </row>
    <row r="47" spans="1:6" x14ac:dyDescent="0.25">
      <c r="A47" s="95" t="s">
        <v>54</v>
      </c>
      <c r="B47" s="95"/>
      <c r="C47" s="95"/>
      <c r="D47" s="95"/>
      <c r="E47" s="95"/>
      <c r="F47" s="54">
        <f>(F24+F15)*D4*D5*0.001</f>
        <v>94917.333333333328</v>
      </c>
    </row>
    <row r="48" spans="1:6" x14ac:dyDescent="0.25">
      <c r="A48" s="95" t="s">
        <v>55</v>
      </c>
      <c r="B48" s="95"/>
      <c r="C48" s="95"/>
      <c r="D48" s="95"/>
      <c r="E48" s="95"/>
      <c r="F48" s="54">
        <f>(F44+F35)*D4*D5*0.001</f>
        <v>566.15</v>
      </c>
    </row>
    <row r="49" spans="1:6" x14ac:dyDescent="0.25">
      <c r="A49" s="95" t="s">
        <v>53</v>
      </c>
      <c r="B49" s="95"/>
      <c r="C49" s="95"/>
      <c r="D49" s="95"/>
      <c r="E49" s="95"/>
      <c r="F49" s="30">
        <f>IFERROR(((F47-F48)/F47)*100,"")</f>
        <v>99.403533601168746</v>
      </c>
    </row>
  </sheetData>
  <mergeCells count="25">
    <mergeCell ref="A17:F17"/>
    <mergeCell ref="A24:E24"/>
    <mergeCell ref="A28:F28"/>
    <mergeCell ref="D29:E29"/>
    <mergeCell ref="A35:E35"/>
    <mergeCell ref="D30:E30"/>
    <mergeCell ref="D32:E32"/>
    <mergeCell ref="D33:E33"/>
    <mergeCell ref="D34:E34"/>
    <mergeCell ref="D31:E31"/>
    <mergeCell ref="A3:E3"/>
    <mergeCell ref="A4:C4"/>
    <mergeCell ref="A5:C5"/>
    <mergeCell ref="D10:E10"/>
    <mergeCell ref="A15:E15"/>
    <mergeCell ref="A9:F9"/>
    <mergeCell ref="D13:E13"/>
    <mergeCell ref="D14:E14"/>
    <mergeCell ref="D11:E11"/>
    <mergeCell ref="D12:E12"/>
    <mergeCell ref="A44:E44"/>
    <mergeCell ref="A47:E47"/>
    <mergeCell ref="A48:E48"/>
    <mergeCell ref="A49:E49"/>
    <mergeCell ref="A37:F37"/>
  </mergeCells>
  <dataValidations count="3">
    <dataValidation type="list" allowBlank="1" showInputMessage="1" showErrorMessage="1" sqref="I6:I7 A11:A14 A30:A34" xr:uid="{B1190790-F918-4E61-8D7F-7EA18B2E744A}">
      <formula1>$I$6:$I$7</formula1>
    </dataValidation>
    <dataValidation type="list" allowBlank="1" showInputMessage="1" showErrorMessage="1" sqref="B11:B14 B39:B43 B19:B23 B30:B34" xr:uid="{0083CB73-8623-4835-8222-07CDA94754E2}">
      <formula1>$I$24:$I$27</formula1>
    </dataValidation>
    <dataValidation type="list" allowBlank="1" showInputMessage="1" showErrorMessage="1" sqref="A39:A43 A19:A23" xr:uid="{6C4FD7AB-9A11-42BC-A900-B3799EA3C053}">
      <formula1>$I$10:$I$15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1F3D-5DB2-4A2E-A67E-D1E69B39978A}">
  <dimension ref="A3:L49"/>
  <sheetViews>
    <sheetView topLeftCell="A34" zoomScale="85" zoomScaleNormal="85" workbookViewId="0">
      <selection activeCell="A5" sqref="A5:C5"/>
    </sheetView>
  </sheetViews>
  <sheetFormatPr defaultRowHeight="15" x14ac:dyDescent="0.25"/>
  <cols>
    <col min="1" max="1" width="24.7109375" style="28" customWidth="1"/>
    <col min="2" max="2" width="23.42578125" style="28" customWidth="1"/>
    <col min="3" max="3" width="20.7109375" style="29" customWidth="1"/>
    <col min="4" max="4" width="22.42578125" style="28" customWidth="1"/>
    <col min="5" max="5" width="17.42578125" style="28" customWidth="1"/>
    <col min="6" max="6" width="38" style="28" customWidth="1"/>
    <col min="7" max="7" width="9.140625" style="28"/>
    <col min="8" max="8" width="0" style="28" hidden="1" customWidth="1"/>
    <col min="9" max="9" width="16.85546875" style="28" hidden="1" customWidth="1"/>
    <col min="10" max="10" width="14" style="28" hidden="1" customWidth="1"/>
    <col min="11" max="11" width="11.7109375" style="28" hidden="1" customWidth="1"/>
    <col min="12" max="12" width="21.5703125" style="29" hidden="1" customWidth="1"/>
    <col min="13" max="13" width="21.5703125" style="28" customWidth="1"/>
    <col min="14" max="16384" width="9.140625" style="28"/>
  </cols>
  <sheetData>
    <row r="3" spans="1:12" x14ac:dyDescent="0.25">
      <c r="A3" s="97" t="s">
        <v>46</v>
      </c>
      <c r="B3" s="97"/>
      <c r="C3" s="97"/>
      <c r="D3" s="97"/>
      <c r="E3" s="97"/>
    </row>
    <row r="4" spans="1:12" x14ac:dyDescent="0.25">
      <c r="A4" s="95" t="s">
        <v>103</v>
      </c>
      <c r="B4" s="95"/>
      <c r="C4" s="95"/>
      <c r="D4" s="73">
        <v>100</v>
      </c>
      <c r="E4" s="31" t="s">
        <v>49</v>
      </c>
    </row>
    <row r="5" spans="1:12" x14ac:dyDescent="0.25">
      <c r="A5" s="95" t="s">
        <v>48</v>
      </c>
      <c r="B5" s="95"/>
      <c r="C5" s="95"/>
      <c r="D5" s="73">
        <v>260</v>
      </c>
      <c r="E5" s="31" t="s">
        <v>50</v>
      </c>
      <c r="I5" s="28" t="s">
        <v>57</v>
      </c>
      <c r="J5" s="28" t="s">
        <v>80</v>
      </c>
      <c r="K5" s="28" t="s">
        <v>81</v>
      </c>
      <c r="L5" s="29" t="s">
        <v>82</v>
      </c>
    </row>
    <row r="6" spans="1:12" x14ac:dyDescent="0.25">
      <c r="I6" s="28" t="s">
        <v>58</v>
      </c>
      <c r="J6" s="32">
        <v>6</v>
      </c>
      <c r="K6" s="32">
        <v>4</v>
      </c>
      <c r="L6" s="29">
        <v>1</v>
      </c>
    </row>
    <row r="7" spans="1:12" ht="15.75" x14ac:dyDescent="0.25">
      <c r="A7" s="33" t="s">
        <v>33</v>
      </c>
      <c r="I7" s="28" t="s">
        <v>59</v>
      </c>
      <c r="J7" s="32">
        <v>2.5</v>
      </c>
      <c r="K7" s="32">
        <v>4</v>
      </c>
      <c r="L7" s="29">
        <v>1</v>
      </c>
    </row>
    <row r="9" spans="1:12" x14ac:dyDescent="0.25">
      <c r="A9" s="97" t="s">
        <v>34</v>
      </c>
      <c r="B9" s="97"/>
      <c r="C9" s="97"/>
      <c r="D9" s="97"/>
      <c r="E9" s="97"/>
      <c r="F9" s="97"/>
    </row>
    <row r="10" spans="1:12" s="32" customFormat="1" x14ac:dyDescent="0.25">
      <c r="A10" s="34" t="s">
        <v>40</v>
      </c>
      <c r="B10" s="35" t="s">
        <v>36</v>
      </c>
      <c r="C10" s="36" t="s">
        <v>37</v>
      </c>
      <c r="D10" s="98" t="s">
        <v>38</v>
      </c>
      <c r="E10" s="98"/>
      <c r="F10" s="35" t="s">
        <v>39</v>
      </c>
      <c r="I10" s="47" t="s">
        <v>60</v>
      </c>
      <c r="J10" s="32">
        <v>8</v>
      </c>
      <c r="K10" s="29">
        <v>1</v>
      </c>
      <c r="L10" s="29">
        <v>5</v>
      </c>
    </row>
    <row r="11" spans="1:12" s="32" customFormat="1" x14ac:dyDescent="0.25">
      <c r="A11" s="72" t="s">
        <v>58</v>
      </c>
      <c r="B11" s="74" t="s">
        <v>51</v>
      </c>
      <c r="C11" s="37">
        <f>IFERROR(VLOOKUP(A11,I6:L7,3,FALSE),"")</f>
        <v>4</v>
      </c>
      <c r="D11" s="99">
        <f>IFERROR(VLOOKUP(A11,$I$6:$L$7,2,FALSE),"")</f>
        <v>6</v>
      </c>
      <c r="E11" s="100"/>
      <c r="F11" s="31">
        <f>IFERROR((C11*D11),"")</f>
        <v>24</v>
      </c>
      <c r="I11" s="47" t="s">
        <v>61</v>
      </c>
      <c r="J11" s="32">
        <v>8</v>
      </c>
      <c r="K11" s="29">
        <v>1</v>
      </c>
      <c r="L11" s="29">
        <v>5</v>
      </c>
    </row>
    <row r="12" spans="1:12" s="32" customFormat="1" x14ac:dyDescent="0.25">
      <c r="A12" s="72" t="s">
        <v>59</v>
      </c>
      <c r="B12" s="74" t="s">
        <v>51</v>
      </c>
      <c r="C12" s="37">
        <f t="shared" ref="C12:C14" si="0">IFERROR(VLOOKUP(A12,I7:L8,3,FALSE),"")</f>
        <v>4</v>
      </c>
      <c r="D12" s="99">
        <f t="shared" ref="D12:D14" si="1">IFERROR(VLOOKUP(A12,$I$6:$L$7,2,FALSE),"")</f>
        <v>2.5</v>
      </c>
      <c r="E12" s="100"/>
      <c r="F12" s="31">
        <f t="shared" ref="F12:F14" si="2">IFERROR((C12*D12),"")</f>
        <v>10</v>
      </c>
      <c r="I12" s="47" t="s">
        <v>83</v>
      </c>
      <c r="J12" s="32">
        <v>8</v>
      </c>
      <c r="K12" s="29">
        <v>1</v>
      </c>
      <c r="L12" s="29">
        <v>15</v>
      </c>
    </row>
    <row r="13" spans="1:12" x14ac:dyDescent="0.25">
      <c r="A13" s="73"/>
      <c r="B13" s="75"/>
      <c r="C13" s="37" t="str">
        <f t="shared" si="0"/>
        <v/>
      </c>
      <c r="D13" s="99" t="str">
        <f t="shared" si="1"/>
        <v/>
      </c>
      <c r="E13" s="100"/>
      <c r="F13" s="31" t="str">
        <f t="shared" si="2"/>
        <v/>
      </c>
      <c r="I13" s="47" t="s">
        <v>64</v>
      </c>
      <c r="J13" s="29">
        <v>8</v>
      </c>
      <c r="K13" s="29">
        <v>4</v>
      </c>
      <c r="L13" s="29">
        <v>15</v>
      </c>
    </row>
    <row r="14" spans="1:12" x14ac:dyDescent="0.25">
      <c r="A14" s="73"/>
      <c r="B14" s="75"/>
      <c r="C14" s="37" t="str">
        <f t="shared" si="0"/>
        <v/>
      </c>
      <c r="D14" s="99" t="str">
        <f t="shared" si="1"/>
        <v/>
      </c>
      <c r="E14" s="100"/>
      <c r="F14" s="31" t="str">
        <f t="shared" si="2"/>
        <v/>
      </c>
      <c r="I14" s="47" t="s">
        <v>62</v>
      </c>
      <c r="J14" s="32">
        <v>8</v>
      </c>
      <c r="K14" s="29">
        <v>2</v>
      </c>
      <c r="L14" s="29">
        <v>30</v>
      </c>
    </row>
    <row r="15" spans="1:12" x14ac:dyDescent="0.25">
      <c r="A15" s="95" t="s">
        <v>45</v>
      </c>
      <c r="B15" s="95"/>
      <c r="C15" s="95"/>
      <c r="D15" s="95"/>
      <c r="E15" s="95"/>
      <c r="F15" s="30">
        <f>SUM(F11:F14)</f>
        <v>34</v>
      </c>
      <c r="I15" s="47" t="s">
        <v>63</v>
      </c>
      <c r="J15" s="32">
        <v>10</v>
      </c>
      <c r="K15" s="29">
        <v>1</v>
      </c>
      <c r="L15" s="29">
        <v>360</v>
      </c>
    </row>
    <row r="17" spans="1:12" x14ac:dyDescent="0.25">
      <c r="A17" s="96" t="s">
        <v>41</v>
      </c>
      <c r="B17" s="96"/>
      <c r="C17" s="96"/>
      <c r="D17" s="96"/>
      <c r="E17" s="96"/>
      <c r="F17" s="96"/>
    </row>
    <row r="18" spans="1:12" s="29" customFormat="1" x14ac:dyDescent="0.25">
      <c r="A18" s="38" t="s">
        <v>40</v>
      </c>
      <c r="B18" s="36" t="s">
        <v>42</v>
      </c>
      <c r="C18" s="36" t="s">
        <v>37</v>
      </c>
      <c r="D18" s="36" t="s">
        <v>38</v>
      </c>
      <c r="E18" s="36" t="s">
        <v>43</v>
      </c>
      <c r="F18" s="36" t="s">
        <v>39</v>
      </c>
      <c r="I18" s="48" t="s">
        <v>6</v>
      </c>
    </row>
    <row r="19" spans="1:12" x14ac:dyDescent="0.25">
      <c r="A19" s="73" t="s">
        <v>61</v>
      </c>
      <c r="B19" s="74" t="s">
        <v>51</v>
      </c>
      <c r="C19" s="37">
        <f>IFERROR(VLOOKUP(A19,$I$10:$L$15,3,FALSE),"")</f>
        <v>1</v>
      </c>
      <c r="D19" s="37">
        <f>IFERROR(VLOOKUP(A19,$I$10:$L$15,2,FALSE),"")</f>
        <v>8</v>
      </c>
      <c r="E19" s="37">
        <f>IFERROR(VLOOKUP(A19,$I$10:$L$15,4,FALSE),"")</f>
        <v>5</v>
      </c>
      <c r="F19" s="76">
        <f>IFERROR(C19*D19*(E19/60),"")</f>
        <v>0.66666666666666663</v>
      </c>
      <c r="I19" s="28" t="s">
        <v>84</v>
      </c>
      <c r="J19" s="28" t="s">
        <v>51</v>
      </c>
      <c r="K19" s="28" t="s">
        <v>87</v>
      </c>
    </row>
    <row r="20" spans="1:12" x14ac:dyDescent="0.25">
      <c r="A20" s="73" t="s">
        <v>62</v>
      </c>
      <c r="B20" s="74" t="s">
        <v>51</v>
      </c>
      <c r="C20" s="37">
        <f t="shared" ref="C20:C23" si="3">IFERROR(VLOOKUP(A20,$I$10:$L$15,3,FALSE),"")</f>
        <v>2</v>
      </c>
      <c r="D20" s="37">
        <f t="shared" ref="D20:D23" si="4">IFERROR(VLOOKUP(A20,$I$10:$L$15,2,FALSE),"")</f>
        <v>8</v>
      </c>
      <c r="E20" s="37">
        <f t="shared" ref="E20:E23" si="5">IFERROR(VLOOKUP(A20,$I$10:$L$15,4,FALSE),"")</f>
        <v>30</v>
      </c>
      <c r="F20" s="76">
        <f t="shared" ref="F20:F21" si="6">IFERROR(C20*D20*(E20/60),"")</f>
        <v>8</v>
      </c>
      <c r="I20" s="28" t="s">
        <v>58</v>
      </c>
      <c r="J20" s="28" t="s">
        <v>85</v>
      </c>
      <c r="K20" s="28" t="s">
        <v>86</v>
      </c>
    </row>
    <row r="21" spans="1:12" x14ac:dyDescent="0.25">
      <c r="A21" s="73" t="s">
        <v>62</v>
      </c>
      <c r="B21" s="74" t="s">
        <v>51</v>
      </c>
      <c r="C21" s="37">
        <f t="shared" si="3"/>
        <v>2</v>
      </c>
      <c r="D21" s="37">
        <f t="shared" si="4"/>
        <v>8</v>
      </c>
      <c r="E21" s="37">
        <f t="shared" si="5"/>
        <v>30</v>
      </c>
      <c r="F21" s="76">
        <f t="shared" si="6"/>
        <v>8</v>
      </c>
      <c r="I21" s="28" t="s">
        <v>35</v>
      </c>
      <c r="J21" s="28" t="s">
        <v>88</v>
      </c>
      <c r="K21" s="28" t="s">
        <v>87</v>
      </c>
    </row>
    <row r="22" spans="1:12" x14ac:dyDescent="0.25">
      <c r="A22" s="73"/>
      <c r="B22" s="74"/>
      <c r="C22" s="37" t="str">
        <f t="shared" si="3"/>
        <v/>
      </c>
      <c r="D22" s="37" t="str">
        <f t="shared" si="4"/>
        <v/>
      </c>
      <c r="E22" s="37" t="str">
        <f t="shared" si="5"/>
        <v/>
      </c>
      <c r="F22" s="31" t="str">
        <f t="shared" ref="F22:F23" si="7">IFERROR(C22*D22*E22, "")</f>
        <v/>
      </c>
    </row>
    <row r="23" spans="1:12" x14ac:dyDescent="0.25">
      <c r="A23" s="73"/>
      <c r="B23" s="74"/>
      <c r="C23" s="37" t="str">
        <f t="shared" si="3"/>
        <v/>
      </c>
      <c r="D23" s="37" t="str">
        <f t="shared" si="4"/>
        <v/>
      </c>
      <c r="E23" s="37" t="str">
        <f t="shared" si="5"/>
        <v/>
      </c>
      <c r="F23" s="31" t="str">
        <f t="shared" si="7"/>
        <v/>
      </c>
    </row>
    <row r="24" spans="1:12" x14ac:dyDescent="0.25">
      <c r="A24" s="95" t="s">
        <v>45</v>
      </c>
      <c r="B24" s="95"/>
      <c r="C24" s="95"/>
      <c r="D24" s="95"/>
      <c r="E24" s="95"/>
      <c r="F24" s="77">
        <f>SUM(F19:F23)</f>
        <v>16.666666666666664</v>
      </c>
      <c r="I24" s="28" t="s">
        <v>51</v>
      </c>
      <c r="J24" s="28">
        <v>4</v>
      </c>
    </row>
    <row r="25" spans="1:12" x14ac:dyDescent="0.25">
      <c r="I25" s="28" t="s">
        <v>87</v>
      </c>
      <c r="J25" s="28">
        <v>3</v>
      </c>
    </row>
    <row r="26" spans="1:12" ht="15.75" x14ac:dyDescent="0.25">
      <c r="A26" s="33" t="s">
        <v>44</v>
      </c>
      <c r="I26" s="28" t="s">
        <v>85</v>
      </c>
      <c r="J26" s="28">
        <v>4</v>
      </c>
    </row>
    <row r="27" spans="1:12" x14ac:dyDescent="0.25">
      <c r="I27" s="28" t="s">
        <v>86</v>
      </c>
    </row>
    <row r="28" spans="1:12" x14ac:dyDescent="0.25">
      <c r="A28" s="97" t="s">
        <v>34</v>
      </c>
      <c r="B28" s="97"/>
      <c r="C28" s="97"/>
      <c r="D28" s="97"/>
      <c r="E28" s="97"/>
      <c r="F28" s="97"/>
    </row>
    <row r="29" spans="1:12" s="32" customFormat="1" x14ac:dyDescent="0.25">
      <c r="A29" s="34" t="s">
        <v>40</v>
      </c>
      <c r="B29" s="35" t="s">
        <v>36</v>
      </c>
      <c r="C29" s="36" t="s">
        <v>37</v>
      </c>
      <c r="D29" s="98" t="s">
        <v>38</v>
      </c>
      <c r="E29" s="98"/>
      <c r="F29" s="35" t="s">
        <v>39</v>
      </c>
      <c r="L29" s="29"/>
    </row>
    <row r="30" spans="1:12" s="32" customFormat="1" x14ac:dyDescent="0.25">
      <c r="A30" s="72" t="s">
        <v>58</v>
      </c>
      <c r="B30" s="74" t="s">
        <v>85</v>
      </c>
      <c r="C30" s="37">
        <v>3</v>
      </c>
      <c r="D30" s="101">
        <v>4</v>
      </c>
      <c r="E30" s="102"/>
      <c r="F30" s="39">
        <f>IFERROR(C30*D30, "")</f>
        <v>12</v>
      </c>
      <c r="L30" s="29"/>
    </row>
    <row r="31" spans="1:12" s="32" customFormat="1" x14ac:dyDescent="0.25">
      <c r="A31" s="72" t="s">
        <v>58</v>
      </c>
      <c r="B31" s="74" t="s">
        <v>86</v>
      </c>
      <c r="C31" s="37">
        <v>1</v>
      </c>
      <c r="D31" s="101">
        <v>3</v>
      </c>
      <c r="E31" s="102"/>
      <c r="F31" s="39">
        <f t="shared" ref="F31:F34" si="8">IFERROR(C31*D31, "")</f>
        <v>3</v>
      </c>
      <c r="L31" s="29"/>
    </row>
    <row r="32" spans="1:12" s="32" customFormat="1" x14ac:dyDescent="0.25">
      <c r="A32" s="72" t="s">
        <v>59</v>
      </c>
      <c r="B32" s="74" t="s">
        <v>87</v>
      </c>
      <c r="C32" s="37">
        <v>3</v>
      </c>
      <c r="D32" s="101">
        <v>0.5</v>
      </c>
      <c r="E32" s="102"/>
      <c r="F32" s="39">
        <f t="shared" si="8"/>
        <v>1.5</v>
      </c>
      <c r="L32" s="29"/>
    </row>
    <row r="33" spans="1:6" x14ac:dyDescent="0.25">
      <c r="A33" s="73"/>
      <c r="B33" s="75"/>
      <c r="C33" s="37" t="str">
        <f t="shared" ref="C33:C34" si="9">IFERROR(VLOOKUP(A33,$I$6:$L$7,3,FALSE),"")</f>
        <v/>
      </c>
      <c r="D33" s="101"/>
      <c r="E33" s="102"/>
      <c r="F33" s="39" t="str">
        <f t="shared" si="8"/>
        <v/>
      </c>
    </row>
    <row r="34" spans="1:6" x14ac:dyDescent="0.25">
      <c r="A34" s="73"/>
      <c r="B34" s="75"/>
      <c r="C34" s="50" t="str">
        <f t="shared" si="9"/>
        <v/>
      </c>
      <c r="D34" s="101"/>
      <c r="E34" s="102"/>
      <c r="F34" s="49" t="str">
        <f t="shared" si="8"/>
        <v/>
      </c>
    </row>
    <row r="35" spans="1:6" x14ac:dyDescent="0.25">
      <c r="A35" s="95" t="s">
        <v>45</v>
      </c>
      <c r="B35" s="95"/>
      <c r="C35" s="95"/>
      <c r="D35" s="95"/>
      <c r="E35" s="95"/>
      <c r="F35" s="30">
        <f>SUM(F30:F34)</f>
        <v>16.5</v>
      </c>
    </row>
    <row r="37" spans="1:6" x14ac:dyDescent="0.25">
      <c r="A37" s="96" t="s">
        <v>41</v>
      </c>
      <c r="B37" s="96"/>
      <c r="C37" s="96"/>
      <c r="D37" s="96"/>
      <c r="E37" s="96"/>
      <c r="F37" s="96"/>
    </row>
    <row r="38" spans="1:6" s="29" customFormat="1" x14ac:dyDescent="0.25">
      <c r="A38" s="38" t="s">
        <v>40</v>
      </c>
      <c r="B38" s="36" t="s">
        <v>42</v>
      </c>
      <c r="C38" s="36" t="s">
        <v>37</v>
      </c>
      <c r="D38" s="36" t="s">
        <v>102</v>
      </c>
      <c r="E38" s="36" t="s">
        <v>43</v>
      </c>
      <c r="F38" s="36" t="s">
        <v>39</v>
      </c>
    </row>
    <row r="39" spans="1:6" s="29" customFormat="1" x14ac:dyDescent="0.25">
      <c r="A39" s="55" t="s">
        <v>61</v>
      </c>
      <c r="B39" s="37" t="s">
        <v>87</v>
      </c>
      <c r="C39" s="37">
        <f>IFERROR(VLOOKUP(A39,$I$10:$L$15,3,FALSE),"")</f>
        <v>1</v>
      </c>
      <c r="D39" s="53">
        <v>6.9</v>
      </c>
      <c r="E39" s="37">
        <f>IFERROR(VLOOKUP(A39,$I$10:$L$15,4,FALSE),"")</f>
        <v>5</v>
      </c>
      <c r="F39" s="37">
        <f>IFERROR(C39*(D39)*E39/60, "")</f>
        <v>0.57499999999999996</v>
      </c>
    </row>
    <row r="40" spans="1:6" s="29" customFormat="1" x14ac:dyDescent="0.25">
      <c r="A40" s="55" t="s">
        <v>62</v>
      </c>
      <c r="B40" s="37" t="s">
        <v>87</v>
      </c>
      <c r="C40" s="37">
        <f t="shared" ref="C40:C43" si="10">IFERROR(VLOOKUP(A40,$I$10:$L$15,3,FALSE),"")</f>
        <v>2</v>
      </c>
      <c r="D40" s="53">
        <v>3</v>
      </c>
      <c r="E40" s="37">
        <f t="shared" ref="E40:E43" si="11">IFERROR(VLOOKUP(A40,$I$10:$L$15,4,FALSE),"")</f>
        <v>30</v>
      </c>
      <c r="F40" s="37">
        <f t="shared" ref="F40:F41" si="12">IFERROR(C40*(D40)*E40/60, "")</f>
        <v>3</v>
      </c>
    </row>
    <row r="41" spans="1:6" x14ac:dyDescent="0.25">
      <c r="A41" s="51" t="s">
        <v>64</v>
      </c>
      <c r="B41" s="39" t="s">
        <v>87</v>
      </c>
      <c r="C41" s="37">
        <f t="shared" si="10"/>
        <v>4</v>
      </c>
      <c r="D41" s="52">
        <v>1.7</v>
      </c>
      <c r="E41" s="37">
        <f t="shared" si="11"/>
        <v>15</v>
      </c>
      <c r="F41" s="37">
        <f t="shared" si="12"/>
        <v>1.7</v>
      </c>
    </row>
    <row r="42" spans="1:6" x14ac:dyDescent="0.25">
      <c r="A42" s="51"/>
      <c r="B42" s="39"/>
      <c r="C42" s="37" t="str">
        <f t="shared" si="10"/>
        <v/>
      </c>
      <c r="D42" s="52"/>
      <c r="E42" s="37" t="str">
        <f t="shared" si="11"/>
        <v/>
      </c>
      <c r="F42" s="37" t="str">
        <f t="shared" ref="F42:F43" si="13">IFERROR(C42*D42*E42, "")</f>
        <v/>
      </c>
    </row>
    <row r="43" spans="1:6" x14ac:dyDescent="0.25">
      <c r="A43" s="51"/>
      <c r="B43" s="39"/>
      <c r="C43" s="37" t="str">
        <f t="shared" si="10"/>
        <v/>
      </c>
      <c r="D43" s="52"/>
      <c r="E43" s="37" t="str">
        <f t="shared" si="11"/>
        <v/>
      </c>
      <c r="F43" s="37" t="str">
        <f t="shared" si="13"/>
        <v/>
      </c>
    </row>
    <row r="44" spans="1:6" x14ac:dyDescent="0.25">
      <c r="A44" s="95" t="s">
        <v>45</v>
      </c>
      <c r="B44" s="95"/>
      <c r="C44" s="95"/>
      <c r="D44" s="95"/>
      <c r="E44" s="95"/>
      <c r="F44" s="30">
        <f>SUM(F39:F43)</f>
        <v>5.2750000000000004</v>
      </c>
    </row>
    <row r="47" spans="1:6" x14ac:dyDescent="0.25">
      <c r="A47" s="95" t="s">
        <v>54</v>
      </c>
      <c r="B47" s="95"/>
      <c r="C47" s="95"/>
      <c r="D47" s="95"/>
      <c r="E47" s="95"/>
      <c r="F47" s="54">
        <f>(F24+F15)*D4*D5*0.001</f>
        <v>1317.3333333333333</v>
      </c>
    </row>
    <row r="48" spans="1:6" x14ac:dyDescent="0.25">
      <c r="A48" s="95" t="s">
        <v>55</v>
      </c>
      <c r="B48" s="95"/>
      <c r="C48" s="95"/>
      <c r="D48" s="95"/>
      <c r="E48" s="95"/>
      <c r="F48" s="54">
        <f>(F44+F35)*D4*D5*0.001</f>
        <v>566.15</v>
      </c>
    </row>
    <row r="49" spans="1:6" x14ac:dyDescent="0.25">
      <c r="A49" s="95" t="s">
        <v>53</v>
      </c>
      <c r="B49" s="95"/>
      <c r="C49" s="95"/>
      <c r="D49" s="95"/>
      <c r="E49" s="95"/>
      <c r="F49" s="30">
        <f>IFERROR(((F47-F48)/F47)*100,"")</f>
        <v>57.023026315789473</v>
      </c>
    </row>
  </sheetData>
  <mergeCells count="25">
    <mergeCell ref="D11:E11"/>
    <mergeCell ref="A3:E3"/>
    <mergeCell ref="A4:C4"/>
    <mergeCell ref="A5:C5"/>
    <mergeCell ref="A9:F9"/>
    <mergeCell ref="D10:E10"/>
    <mergeCell ref="D33:E33"/>
    <mergeCell ref="D12:E12"/>
    <mergeCell ref="D13:E13"/>
    <mergeCell ref="D14:E14"/>
    <mergeCell ref="A15:E15"/>
    <mergeCell ref="A17:F17"/>
    <mergeCell ref="A24:E24"/>
    <mergeCell ref="A28:F28"/>
    <mergeCell ref="D29:E29"/>
    <mergeCell ref="D30:E30"/>
    <mergeCell ref="D31:E31"/>
    <mergeCell ref="D32:E32"/>
    <mergeCell ref="A49:E49"/>
    <mergeCell ref="D34:E34"/>
    <mergeCell ref="A35:E35"/>
    <mergeCell ref="A37:F37"/>
    <mergeCell ref="A44:E44"/>
    <mergeCell ref="A47:E47"/>
    <mergeCell ref="A48:E48"/>
  </mergeCells>
  <dataValidations count="3">
    <dataValidation type="list" allowBlank="1" showInputMessage="1" showErrorMessage="1" sqref="A39:A43 A19:A23" xr:uid="{624C8D70-B43B-4201-A952-579518746A40}">
      <formula1>$I$10:$I$15</formula1>
    </dataValidation>
    <dataValidation type="list" allowBlank="1" showInputMessage="1" showErrorMessage="1" sqref="B11:B14 B39:B43 B19:B23 B30:B34" xr:uid="{BA9634E6-85F6-40D9-9CEC-DE70E2A73591}">
      <formula1>$I$24:$I$27</formula1>
    </dataValidation>
    <dataValidation type="list" allowBlank="1" showInputMessage="1" showErrorMessage="1" sqref="I6:I7 A11:A14 A30:A34" xr:uid="{93E9E4DC-7DD3-4837-AAEA-13C293F369BB}">
      <formula1>$I$6:$I$7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7759-45D6-4593-B1DB-F6F09078B226}">
  <dimension ref="A1"/>
  <sheetViews>
    <sheetView workbookViewId="0">
      <selection activeCell="P9" sqref="P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Landscape irrigation  </vt:lpstr>
      <vt:lpstr>RWH 1</vt:lpstr>
      <vt:lpstr>WEF (Residential)</vt:lpstr>
      <vt:lpstr>WEF (Common Area )</vt:lpstr>
      <vt:lpstr>Miscellaneous</vt:lpstr>
      <vt:lpstr>'RWH 1'!First_Flush_Diversion</vt:lpstr>
      <vt:lpstr>'RWH 1'!Total_Area</vt:lpstr>
      <vt:lpstr>'RWH 1'!Total_Run_Off_Coefficient_x_Area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nurfateha</dc:creator>
  <cp:lastModifiedBy>Nur Fateha Jamaluddin</cp:lastModifiedBy>
  <dcterms:created xsi:type="dcterms:W3CDTF">2020-07-21T02:50:55Z</dcterms:created>
  <dcterms:modified xsi:type="dcterms:W3CDTF">2025-01-03T03:30:37Z</dcterms:modified>
</cp:coreProperties>
</file>